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Sprawozdanie opisoawe za 2022\"/>
    </mc:Choice>
  </mc:AlternateContent>
  <xr:revisionPtr revIDLastSave="0" documentId="13_ncr:1_{FA952278-EEA8-4132-A2E3-44CE44D0C109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ania majątkowe 2022" sheetId="1" r:id="rId1"/>
  </sheets>
  <definedNames>
    <definedName name="_xlnm.Print_Area" localSheetId="0">'Zadania majątkowe 2022'!$A$1:$H$164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3" i="1" l="1"/>
  <c r="E162" i="1"/>
  <c r="F162" i="1" s="1"/>
  <c r="D162" i="1"/>
  <c r="C162" i="1"/>
  <c r="F161" i="1"/>
  <c r="F159" i="1"/>
  <c r="F157" i="1"/>
  <c r="F156" i="1"/>
  <c r="F155" i="1"/>
  <c r="F154" i="1"/>
  <c r="E153" i="1"/>
  <c r="D153" i="1"/>
  <c r="F153" i="1" s="1"/>
  <c r="C153" i="1"/>
  <c r="F152" i="1"/>
  <c r="D152" i="1"/>
  <c r="C152" i="1"/>
  <c r="E151" i="1"/>
  <c r="D151" i="1"/>
  <c r="C151" i="1"/>
  <c r="D150" i="1"/>
  <c r="F150" i="1" s="1"/>
  <c r="C150" i="1"/>
  <c r="F149" i="1"/>
  <c r="F148" i="1"/>
  <c r="F147" i="1"/>
  <c r="D146" i="1"/>
  <c r="F146" i="1" s="1"/>
  <c r="C146" i="1"/>
  <c r="D144" i="1"/>
  <c r="C144" i="1"/>
  <c r="F143" i="1"/>
  <c r="C143" i="1"/>
  <c r="F142" i="1"/>
  <c r="F141" i="1"/>
  <c r="E140" i="1"/>
  <c r="F139" i="1"/>
  <c r="F138" i="1"/>
  <c r="D138" i="1"/>
  <c r="F137" i="1"/>
  <c r="C137" i="1"/>
  <c r="C135" i="1" s="1"/>
  <c r="E135" i="1"/>
  <c r="F135" i="1" s="1"/>
  <c r="D135" i="1"/>
  <c r="D134" i="1"/>
  <c r="F134" i="1" s="1"/>
  <c r="C134" i="1"/>
  <c r="F133" i="1"/>
  <c r="F131" i="1"/>
  <c r="D130" i="1"/>
  <c r="F130" i="1" s="1"/>
  <c r="C130" i="1"/>
  <c r="D129" i="1"/>
  <c r="F129" i="1" s="1"/>
  <c r="C129" i="1"/>
  <c r="F127" i="1"/>
  <c r="F126" i="1"/>
  <c r="D125" i="1"/>
  <c r="F125" i="1" s="1"/>
  <c r="C125" i="1"/>
  <c r="D124" i="1"/>
  <c r="F124" i="1" s="1"/>
  <c r="F123" i="1"/>
  <c r="C123" i="1"/>
  <c r="F122" i="1"/>
  <c r="C122" i="1"/>
  <c r="F121" i="1"/>
  <c r="C121" i="1"/>
  <c r="D120" i="1"/>
  <c r="F120" i="1" s="1"/>
  <c r="C120" i="1"/>
  <c r="D119" i="1"/>
  <c r="F119" i="1" s="1"/>
  <c r="C119" i="1"/>
  <c r="D118" i="1"/>
  <c r="F118" i="1" s="1"/>
  <c r="C118" i="1"/>
  <c r="D117" i="1"/>
  <c r="F117" i="1" s="1"/>
  <c r="C117" i="1"/>
  <c r="D116" i="1"/>
  <c r="F116" i="1" s="1"/>
  <c r="C116" i="1"/>
  <c r="D115" i="1"/>
  <c r="C115" i="1"/>
  <c r="D114" i="1"/>
  <c r="F114" i="1" s="1"/>
  <c r="C114" i="1"/>
  <c r="F113" i="1"/>
  <c r="C113" i="1"/>
  <c r="D112" i="1"/>
  <c r="F112" i="1" s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D104" i="1"/>
  <c r="F104" i="1" s="1"/>
  <c r="C104" i="1"/>
  <c r="D103" i="1"/>
  <c r="F103" i="1" s="1"/>
  <c r="C103" i="1"/>
  <c r="D102" i="1"/>
  <c r="F102" i="1" s="1"/>
  <c r="C102" i="1"/>
  <c r="D101" i="1"/>
  <c r="F101" i="1" s="1"/>
  <c r="C101" i="1"/>
  <c r="D100" i="1"/>
  <c r="F100" i="1" s="1"/>
  <c r="C100" i="1"/>
  <c r="C99" i="1" s="1"/>
  <c r="E99" i="1"/>
  <c r="F98" i="1"/>
  <c r="D98" i="1"/>
  <c r="C98" i="1"/>
  <c r="E97" i="1"/>
  <c r="F97" i="1" s="1"/>
  <c r="D97" i="1"/>
  <c r="C97" i="1"/>
  <c r="D96" i="1"/>
  <c r="F96" i="1" s="1"/>
  <c r="E95" i="1"/>
  <c r="D95" i="1"/>
  <c r="C95" i="1"/>
  <c r="F94" i="1"/>
  <c r="C94" i="1"/>
  <c r="C93" i="1" s="1"/>
  <c r="H93" i="1"/>
  <c r="E93" i="1"/>
  <c r="D93" i="1"/>
  <c r="F92" i="1"/>
  <c r="E91" i="1"/>
  <c r="D91" i="1"/>
  <c r="C91" i="1"/>
  <c r="F90" i="1"/>
  <c r="E89" i="1"/>
  <c r="D89" i="1"/>
  <c r="C89" i="1"/>
  <c r="F88" i="1"/>
  <c r="C88" i="1"/>
  <c r="D87" i="1"/>
  <c r="D86" i="1" s="1"/>
  <c r="C87" i="1"/>
  <c r="C86" i="1" s="1"/>
  <c r="E86" i="1"/>
  <c r="F85" i="1"/>
  <c r="F84" i="1"/>
  <c r="F83" i="1"/>
  <c r="D83" i="1"/>
  <c r="C83" i="1"/>
  <c r="D82" i="1"/>
  <c r="F82" i="1" s="1"/>
  <c r="C82" i="1"/>
  <c r="F81" i="1"/>
  <c r="F80" i="1"/>
  <c r="D80" i="1"/>
  <c r="C80" i="1"/>
  <c r="E79" i="1"/>
  <c r="F78" i="1"/>
  <c r="C78" i="1"/>
  <c r="F77" i="1"/>
  <c r="F75" i="1"/>
  <c r="F74" i="1"/>
  <c r="E74" i="1"/>
  <c r="D74" i="1"/>
  <c r="C74" i="1"/>
  <c r="F73" i="1"/>
  <c r="E72" i="1"/>
  <c r="D72" i="1"/>
  <c r="C72" i="1"/>
  <c r="F71" i="1"/>
  <c r="C71" i="1"/>
  <c r="C70" i="1" s="1"/>
  <c r="E70" i="1"/>
  <c r="D70" i="1"/>
  <c r="F69" i="1"/>
  <c r="E68" i="1"/>
  <c r="D68" i="1"/>
  <c r="C68" i="1"/>
  <c r="F67" i="1"/>
  <c r="C67" i="1"/>
  <c r="E66" i="1"/>
  <c r="F66" i="1" s="1"/>
  <c r="D66" i="1"/>
  <c r="C66" i="1"/>
  <c r="F65" i="1"/>
  <c r="E64" i="1"/>
  <c r="D64" i="1"/>
  <c r="C64" i="1"/>
  <c r="F63" i="1"/>
  <c r="F61" i="1"/>
  <c r="F59" i="1"/>
  <c r="E58" i="1"/>
  <c r="D58" i="1"/>
  <c r="C58" i="1"/>
  <c r="F57" i="1"/>
  <c r="C57" i="1"/>
  <c r="C56" i="1" s="1"/>
  <c r="E56" i="1"/>
  <c r="F56" i="1" s="1"/>
  <c r="D56" i="1"/>
  <c r="F55" i="1"/>
  <c r="F54" i="1"/>
  <c r="F53" i="1"/>
  <c r="F51" i="1"/>
  <c r="F50" i="1"/>
  <c r="F48" i="1"/>
  <c r="F47" i="1"/>
  <c r="F46" i="1"/>
  <c r="F45" i="1"/>
  <c r="F44" i="1"/>
  <c r="F43" i="1"/>
  <c r="C43" i="1"/>
  <c r="D42" i="1"/>
  <c r="F42" i="1" s="1"/>
  <c r="F41" i="1"/>
  <c r="F40" i="1"/>
  <c r="F39" i="1"/>
  <c r="C39" i="1"/>
  <c r="F38" i="1"/>
  <c r="C38" i="1"/>
  <c r="F37" i="1"/>
  <c r="C37" i="1"/>
  <c r="F36" i="1"/>
  <c r="F35" i="1"/>
  <c r="F34" i="1"/>
  <c r="F33" i="1"/>
  <c r="C33" i="1"/>
  <c r="F32" i="1"/>
  <c r="C32" i="1"/>
  <c r="F31" i="1"/>
  <c r="F30" i="1"/>
  <c r="C30" i="1"/>
  <c r="F29" i="1"/>
  <c r="C29" i="1"/>
  <c r="F28" i="1"/>
  <c r="D28" i="1"/>
  <c r="C28" i="1"/>
  <c r="D27" i="1"/>
  <c r="F27" i="1" s="1"/>
  <c r="C27" i="1"/>
  <c r="F26" i="1"/>
  <c r="D26" i="1"/>
  <c r="D25" i="1"/>
  <c r="F25" i="1" s="1"/>
  <c r="C25" i="1"/>
  <c r="F24" i="1"/>
  <c r="E23" i="1"/>
  <c r="F22" i="1"/>
  <c r="F21" i="1"/>
  <c r="C21" i="1"/>
  <c r="C20" i="1" s="1"/>
  <c r="E20" i="1"/>
  <c r="F20" i="1" s="1"/>
  <c r="D20" i="1"/>
  <c r="F19" i="1"/>
  <c r="C19" i="1"/>
  <c r="C18" i="1" s="1"/>
  <c r="E18" i="1"/>
  <c r="F18" i="1" s="1"/>
  <c r="D18" i="1"/>
  <c r="F17" i="1"/>
  <c r="C17" i="1"/>
  <c r="C16" i="1" s="1"/>
  <c r="E16" i="1"/>
  <c r="D16" i="1"/>
  <c r="F16" i="1" s="1"/>
  <c r="F15" i="1"/>
  <c r="F14" i="1"/>
  <c r="C14" i="1"/>
  <c r="C13" i="1" s="1"/>
  <c r="E13" i="1"/>
  <c r="D13" i="1"/>
  <c r="F72" i="1" l="1"/>
  <c r="F89" i="1"/>
  <c r="F58" i="1"/>
  <c r="F64" i="1"/>
  <c r="F70" i="1"/>
  <c r="F86" i="1"/>
  <c r="F93" i="1"/>
  <c r="F95" i="1"/>
  <c r="F151" i="1"/>
  <c r="C23" i="1"/>
  <c r="E164" i="1"/>
  <c r="D140" i="1"/>
  <c r="F140" i="1" s="1"/>
  <c r="F144" i="1"/>
  <c r="F68" i="1"/>
  <c r="D79" i="1"/>
  <c r="F79" i="1" s="1"/>
  <c r="C79" i="1"/>
  <c r="F91" i="1"/>
  <c r="D99" i="1"/>
  <c r="F99" i="1" s="1"/>
  <c r="C140" i="1"/>
  <c r="C164" i="1"/>
  <c r="F115" i="1"/>
  <c r="F87" i="1"/>
  <c r="F13" i="1"/>
  <c r="D23" i="1"/>
  <c r="F23" i="1" s="1"/>
  <c r="D164" i="1" l="1"/>
  <c r="F164" i="1" s="1"/>
</calcChain>
</file>

<file path=xl/sharedStrings.xml><?xml version="1.0" encoding="utf-8"?>
<sst xmlns="http://schemas.openxmlformats.org/spreadsheetml/2006/main" count="371" uniqueCount="247">
  <si>
    <t>Załącznik nr 3</t>
  </si>
  <si>
    <t xml:space="preserve">do sprawozdania z wykonania </t>
  </si>
  <si>
    <t>budżetu na 31.12.2022 r.</t>
  </si>
  <si>
    <t xml:space="preserve">Realizacja wydatków majątkowych za rok 2022 </t>
  </si>
  <si>
    <t>l.p.</t>
  </si>
  <si>
    <t>dział rozdział paragraf</t>
  </si>
  <si>
    <t>łączne koszty finansowe</t>
  </si>
  <si>
    <t xml:space="preserve">plan </t>
  </si>
  <si>
    <t>wykonanie</t>
  </si>
  <si>
    <t>%                    wykonania</t>
  </si>
  <si>
    <t>opis zadania</t>
  </si>
  <si>
    <t>Uwagi</t>
  </si>
  <si>
    <t>nazwa zadania inwestycyjnego</t>
  </si>
  <si>
    <t>dział 010 rozdział 01043 par. 6050</t>
  </si>
  <si>
    <t>1.</t>
  </si>
  <si>
    <t>Budowa sieci wodociągowych                    na terenie Gminy Mosina</t>
  </si>
  <si>
    <t xml:space="preserve">WPF </t>
  </si>
  <si>
    <t>4.</t>
  </si>
  <si>
    <t xml:space="preserve">Rozwój sieci wodociągowej                   w obszarze "Majatku Rogalin" </t>
  </si>
  <si>
    <t>WPF</t>
  </si>
  <si>
    <t>dział 600 rozdział 60013 par. 6050</t>
  </si>
  <si>
    <t>8.</t>
  </si>
  <si>
    <t>Współpraca z Województwem Wielkopolskim - Budowa obustronnych przystanków komunikacyjnych przy drodze wojewódzkiej DW 431 - Mosina  ul. Konopnickiej i  Krosinko ul. Wiejska</t>
  </si>
  <si>
    <t>dział 600 rozdział 60014 par. 6300</t>
  </si>
  <si>
    <t>10.</t>
  </si>
  <si>
    <t>Współpraca z Powiatem Poznańskim - dotacja celowa na pomoc finansową dla Powiatu Poznańskiego</t>
  </si>
  <si>
    <t xml:space="preserve">1. Projekt i budowa ścieżki rowerowej w pasie drogowym wzdłuż drogi powiatowej 2463P na odcinku Mosina - Żabinko do granicy Gminy Mosina. Trwa opracowanie projektowe. Wartość wykonania planu dot. zaawansowania projektowego ZDP w Poznaniu. 
2. Radzewice: projekt chodnika. Trwa opracowanie projektowe prowadzone przez ZDP w Poznaniu. 
3. Projekt chodnika Borkowice. Trwające opracowanie projektowe wstrzymano do czasu decyzji o celowości kontynuacji umowy. </t>
  </si>
  <si>
    <t>dział 600 rozdział 60014 par. 6050</t>
  </si>
  <si>
    <t>11.</t>
  </si>
  <si>
    <r>
      <rPr>
        <sz val="7"/>
        <rFont val="Arial"/>
        <family val="2"/>
        <charset val="238"/>
      </rPr>
      <t>Współpraca z Powiatem Poznańskim - Budowa przystanków komunikacyjnych przy drodze powiatowej w Światnikach, Dymaczewie</t>
    </r>
    <r>
      <rPr>
        <strike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Starym i Borkowicach</t>
    </r>
  </si>
  <si>
    <t>12.</t>
  </si>
  <si>
    <t xml:space="preserve">Współpraca z Powiatem Poznańskim - Budowa przystanku komunikacyjnego przy drodze powiatowej 2465P w Krośnie, ulica Główna </t>
  </si>
  <si>
    <t>x</t>
  </si>
  <si>
    <t>dział 600 rozdział 60016 par. 6050</t>
  </si>
  <si>
    <t xml:space="preserve"> 2. Wydatki realizowane w ramach dodatkowego funduszu jednostek pomocniczych:</t>
  </si>
  <si>
    <t>14.</t>
  </si>
  <si>
    <t>Projekty i budowa utwardzenia ulic wraz z odwodnieniem - Rządowy Fundusz Polski Ład: Program Inwestycji Strategicznych</t>
  </si>
  <si>
    <t>dział 600 rozdział 60017 par. 6050</t>
  </si>
  <si>
    <t>15.</t>
  </si>
  <si>
    <t>Projekty i budowa utwardzenia dróg wewnętrznych wraz z odwodnieniem</t>
  </si>
  <si>
    <t>16.</t>
  </si>
  <si>
    <t>Projekty i budowa utwardzenia dróg wewnętrznych wraz z odwodnieniem realizowane przez jednostki pomocnicze</t>
  </si>
  <si>
    <t xml:space="preserve">1.Wydatki realizowane w ramach Funduszu Sołeckiego: </t>
  </si>
  <si>
    <t>dział 700 rozdział 70005 par. 6050</t>
  </si>
  <si>
    <t>18.</t>
  </si>
  <si>
    <t>Opłotowanie działki gminnej</t>
  </si>
  <si>
    <t xml:space="preserve">Zadanie wykonane. </t>
  </si>
  <si>
    <t>dział 700 rozdział 70005 par. 6060</t>
  </si>
  <si>
    <t>19.</t>
  </si>
  <si>
    <t>Wykupy gruntów</t>
  </si>
  <si>
    <t>dział 750 rozdział 75023 par.6060</t>
  </si>
  <si>
    <t>21.</t>
  </si>
  <si>
    <t>Zakup i modernizacja sprzętu informatycznego</t>
  </si>
  <si>
    <t>dział 754 rozdział 75412 par.6230</t>
  </si>
  <si>
    <t>22.</t>
  </si>
  <si>
    <t>Dotacja dla Ochotniczej Straży Pożarnej</t>
  </si>
  <si>
    <t>dział 754 rozdział 75416 par.6050</t>
  </si>
  <si>
    <t>23.</t>
  </si>
  <si>
    <t>Obiekt magazynowo - garażowy</t>
  </si>
  <si>
    <t>dział 754 rozdział 75495 par. 6050</t>
  </si>
  <si>
    <t>24.</t>
  </si>
  <si>
    <t xml:space="preserve">Monitoring świetlicy i terenu wokół świetlicy w miejscowości Mieczewo </t>
  </si>
  <si>
    <t>25.</t>
  </si>
  <si>
    <t xml:space="preserve">Monitoring realizowany w ramach  funduszy jednostek pomocniczych  </t>
  </si>
  <si>
    <t>1. Wydatki realizowane w ramach Funduszu Sołeckiego:</t>
  </si>
  <si>
    <t>dział 801 rozdział 80101  par. 6050</t>
  </si>
  <si>
    <t>27.</t>
  </si>
  <si>
    <t>Rozbudowa SP w Rogalinku                wraz z odwodnieniem</t>
  </si>
  <si>
    <t>Rozbudowa Szkoły Podstawowej  w Krosinku</t>
  </si>
  <si>
    <t>29.</t>
  </si>
  <si>
    <t>Termomodernizacja budynku Szkoły Podstawowej w Daszewicach wraz z odwodnieniem</t>
  </si>
  <si>
    <t>Zadanie wykonano.</t>
  </si>
  <si>
    <t>32.</t>
  </si>
  <si>
    <t>Szkoła Podstawowa w Krośnie - modernizacja boiska</t>
  </si>
  <si>
    <t>Zadanie w trakcie wykonania, przedłużenie terminu realizacji z powodu warunków atmosferycznych nie pozwalających na prace nawierzchniowe; wykonanie planu dot. zaangażowania środków na rok 2022 (z uwzględnieniem wartości środków niewygasających).</t>
  </si>
  <si>
    <t>33.</t>
  </si>
  <si>
    <t xml:space="preserve">Rozbudowa SP w Rogalinie z budową sali gimnastycznej wraz z infrastrukturą towarzyszącą </t>
  </si>
  <si>
    <t xml:space="preserve">Zadanie wykonane w ustalonym zakresie. </t>
  </si>
  <si>
    <t>35.</t>
  </si>
  <si>
    <t>Szkoła Podstawowa nr 2                       w Mosinie - centralne ogrzewanie</t>
  </si>
  <si>
    <t xml:space="preserve">Zadanie nie wykonane ze względu na ustalenie konieczności zmiany lokalizacji kotłowni głównej, w związku z treścią przepisów p.poż.; zakres rzeczowy i stan faktyczny do uzgodnienia z użytkownikiem i projektantem. </t>
  </si>
  <si>
    <t>dział 801 rozdział 80101  par. 6060</t>
  </si>
  <si>
    <t>36.</t>
  </si>
  <si>
    <t xml:space="preserve">Szkoła Podstawowa w Rogalinku - pierwsze wyposażenie </t>
  </si>
  <si>
    <t>38.</t>
  </si>
  <si>
    <t>Szkoła Podstawowa w Rogalinie - zakup urządzenia czyszczącego</t>
  </si>
  <si>
    <t>dział 851 rozdział 85195 par.6300</t>
  </si>
  <si>
    <t>39.</t>
  </si>
  <si>
    <t>Dotacja celowa dla Powiatu Poznańskiego</t>
  </si>
  <si>
    <t>dział 852 rozdział 85203 par.6050</t>
  </si>
  <si>
    <t>40.</t>
  </si>
  <si>
    <t>Adaptacja pomieszczeń budynku gminnego u zbiegu ulic Wiosny Ludów i Dembowskiego (Środowiskowy Dom Samopomocy)</t>
  </si>
  <si>
    <t>dział 900 rozdział 90001 par. 6050</t>
  </si>
  <si>
    <t>42.</t>
  </si>
  <si>
    <t>Budowa sieci wodociągowych i kanalizacji sanitarnych w mieście.</t>
  </si>
  <si>
    <t>dział 900 rozdział 90004 par. 6060</t>
  </si>
  <si>
    <t>44.</t>
  </si>
  <si>
    <t xml:space="preserve">Zakup kosiarki (traktorka) do koszenia trawy </t>
  </si>
  <si>
    <t>dział 900 rozdział 90005 par. 6230</t>
  </si>
  <si>
    <t>45.</t>
  </si>
  <si>
    <t>Dotacja celowa na dofinansowanie modernizacji systemów grzewczych</t>
  </si>
  <si>
    <t>dział 900 rozdział 90015 par. 6050</t>
  </si>
  <si>
    <t>46.</t>
  </si>
  <si>
    <t>Projekty, budowa i rozbudowa oświetlenia drogowego</t>
  </si>
  <si>
    <t>47.</t>
  </si>
  <si>
    <t xml:space="preserve">Modernizacja oświetlenia ulicznego na terenie Gminy Mosina </t>
  </si>
  <si>
    <t>Wydatki realizowane                         przez jednostki pomocnicze                w ramach przydzielonych funduszy</t>
  </si>
  <si>
    <t>2. Wydatki realizowane w ramach dodatkowego funduszu jednostek pomocniczych:</t>
  </si>
  <si>
    <t>dział 900 rozdział 90095 par. 6050</t>
  </si>
  <si>
    <t>Wydatki realizowane                         przez jednostki pomocnicze                  w ramach przydzielonych funduszy</t>
  </si>
  <si>
    <t>Wydatki realizowane w ramach dodatkowego funduszu jednostek pomocniczych:</t>
  </si>
  <si>
    <t>dział 921 rozdział 92109 par. 6050</t>
  </si>
  <si>
    <t>Budynek w Rogalinku (pracownia)</t>
  </si>
  <si>
    <t>Budowa świetlicy kontenerowej w miejscowości Dymaczewo Stare</t>
  </si>
  <si>
    <t>System fotowoltaiczny  na budynkach świetlic</t>
  </si>
  <si>
    <t>Wiata piknikowa przy świetlicy wiejskiej w Borkowicach</t>
  </si>
  <si>
    <t>Wydatki realizowane przez jednostki pomocnicze w ramach przydzielonych funduszy</t>
  </si>
  <si>
    <t xml:space="preserve">Modernizacja budynku MOK przy ul. Dworcowej </t>
  </si>
  <si>
    <t xml:space="preserve">Zadanie wykonane w zakresie dokumentacji projektowej. </t>
  </si>
  <si>
    <t>dział 921 rozdział 92109 par. 6060</t>
  </si>
  <si>
    <t>dział 926 rozdział 92601  par. 6050</t>
  </si>
  <si>
    <t xml:space="preserve">OSiR ul. Szkolna w Mosinie - kotary </t>
  </si>
  <si>
    <t xml:space="preserve">Bezpieczeństwo na parkingu przy hali sportowej przy ul. Krasickiego  </t>
  </si>
  <si>
    <t xml:space="preserve"> Zadanie wykonane. </t>
  </si>
  <si>
    <t>Dostawa i montaż obiektów małej architektury na terenie Gminy Mosina</t>
  </si>
  <si>
    <t xml:space="preserve">Klimatyzacja hali OSiR                           ul. Krasickiego w Mosinie </t>
  </si>
  <si>
    <t>1. Wydatki realizowane w ramach Funduszu Sołeckiego</t>
  </si>
  <si>
    <t>2.Wydatki realizowane w ramach dodatkowego funduszu jednostek pomocniczych</t>
  </si>
  <si>
    <t>dział 926 rozdział 92601  par. 6060</t>
  </si>
  <si>
    <t>Zakup sprzętu do pielęgnacji zieleni</t>
  </si>
  <si>
    <t>Ogółem</t>
  </si>
  <si>
    <r>
      <rPr>
        <b/>
        <i/>
        <sz val="7"/>
        <rFont val="Arial"/>
        <family val="2"/>
        <charset val="238"/>
      </rPr>
      <t>Budowa sieci wodociągowej w Sowińcu</t>
    </r>
    <r>
      <rPr>
        <sz val="7"/>
        <rFont val="Arial"/>
        <family val="2"/>
        <charset val="238"/>
      </rPr>
      <t xml:space="preserve">. Zadanie wykonane, odebrane i rozliczone. </t>
    </r>
  </si>
  <si>
    <t>Wykonano w zakresie: wymiana sterowania automatyką SUW Świątniki. Zakup i montaż agregatu prądotwórczego zasilającego SUW Świątniki przeniesiony do realizacji na 2023 rok</t>
  </si>
  <si>
    <t xml:space="preserve">Zadanie pozostałe do realizacji ze względu na trwajace ustalenia dotyczace zakresu przebudowy lub remontu pasa drogowego w roku 2023 z Zarządem Dróg Powiatowych w Poznaniu. </t>
  </si>
  <si>
    <r>
      <rPr>
        <b/>
        <i/>
        <sz val="7"/>
        <rFont val="Arial"/>
        <family val="2"/>
        <charset val="238"/>
      </rPr>
      <t>Projekt i budowa odwodnienia ul. Podgórnej i obszaru ul. Mostowej w Rogalinku.</t>
    </r>
    <r>
      <rPr>
        <sz val="7"/>
        <rFont val="Arial"/>
        <family val="2"/>
        <charset val="238"/>
      </rPr>
      <t xml:space="preserve">
Zakończono opracowanie projektowe i wykonano 80% zakresu rzeczowego robót budowlanych etapu 2.
Trwa opracowanie projektowe dla etapu 3.</t>
    </r>
  </si>
  <si>
    <r>
      <rPr>
        <b/>
        <i/>
        <sz val="7"/>
        <rFont val="Arial"/>
        <family val="2"/>
        <charset val="238"/>
      </rPr>
      <t xml:space="preserve">Budowa ul. Różanej i Łąkowej w Pecnej. </t>
    </r>
    <r>
      <rPr>
        <sz val="7"/>
        <rFont val="Arial"/>
        <family val="2"/>
        <charset val="238"/>
      </rPr>
      <t xml:space="preserve">
Zrealizowano aktualizację dokumentacji kosztorysowej. Zadanie oczekuje na ocenę wniosku o dofinansowanie z Rządowego Funduszu Rozowju Dróg. 
</t>
    </r>
  </si>
  <si>
    <r>
      <rPr>
        <b/>
        <i/>
        <sz val="7"/>
        <rFont val="Arial"/>
        <family val="2"/>
        <charset val="238"/>
      </rPr>
      <t>Budowa ul. Dembowskiego w Mosinie.</t>
    </r>
    <r>
      <rPr>
        <sz val="7"/>
        <rFont val="Arial"/>
        <family val="2"/>
        <charset val="238"/>
      </rPr>
      <t xml:space="preserve">
Zadanie wykonane w zakresie przewidzianym na rok 2022. Zaawansowanie realizacji zadania wynosi 50%.</t>
    </r>
  </si>
  <si>
    <r>
      <rPr>
        <b/>
        <i/>
        <sz val="7"/>
        <rFont val="Arial"/>
        <family val="2"/>
        <charset val="238"/>
      </rPr>
      <t xml:space="preserve">Budowa ul. Lema w Mosinie.     </t>
    </r>
    <r>
      <rPr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Zadanie współfinansowane z Rządowego Funduszu Rozwoju Dróg.
Zadanie wykonane. </t>
    </r>
  </si>
  <si>
    <r>
      <rPr>
        <b/>
        <i/>
        <sz val="7"/>
        <rFont val="Arial"/>
        <family val="2"/>
        <charset val="238"/>
      </rPr>
      <t>Budowa ulicy Kanałowej i Łaziennej - II etap ulica Kanałowa w Mosinie.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</si>
  <si>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>Daszewice - kanalizacja deszczowa gminnego odcinka ul. Poznańskiej przy współpracy z Aquanet i ZDP Poznań.</t>
    </r>
    <r>
      <rPr>
        <sz val="7"/>
        <rFont val="Arial"/>
        <family val="2"/>
        <charset val="238"/>
      </rPr>
      <t xml:space="preserve">
Brak środków umożliwiających właściwą koordynację terminów realizacji zadania ze strony Aquanet S.A. w harmonogramie Spółki skutkował brakiem realizacji zadania.</t>
    </r>
  </si>
  <si>
    <r>
      <rPr>
        <b/>
        <i/>
        <sz val="7"/>
        <rFont val="Arial"/>
        <family val="2"/>
        <charset val="238"/>
      </rPr>
      <t xml:space="preserve">Projekt budowy promenady sportowo - rekreacyjnej wzdłuż kanału Mosińskiego wraz z kładką pieszo - rowerową na wysokości ul. Harcerskiej. </t>
    </r>
    <r>
      <rPr>
        <sz val="7"/>
        <rFont val="Arial"/>
        <family val="2"/>
        <charset val="238"/>
      </rPr>
      <t xml:space="preserve">
Zadanie wieloletnie, trwa opracowanie dokumentacji koncepcyjnej.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</si>
  <si>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Projekt ciągu komunikacyjnego na Osiedlu Nowe Krosno.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</si>
  <si>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 xml:space="preserve">Projekt budowy ul. Piotrowskiej i Żwirowej w Daszewicach na odcinku od cieku Babinki do rzeki Kopli. 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</si>
  <si>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Projekt ulicy Olchowej i Jarzynowej w Mosinie.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</si>
  <si>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Projekt ul. Piaskowej w Krosinku.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</si>
  <si>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Projekt budowy ulicy Kamioneckiej w Mieczewie.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</si>
  <si>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 xml:space="preserve">Projekt ulicy Nowej w Rogalinie (dojazd do byłego PGR). </t>
    </r>
    <r>
      <rPr>
        <sz val="7"/>
        <rFont val="Arial"/>
        <family val="2"/>
        <charset val="238"/>
      </rPr>
      <t xml:space="preserve">
Zadanie wieloletnie,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</si>
  <si>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 xml:space="preserve">Ścieżka rowerowa ul. Poznańska w Daszewicach, Drużyna – Borkowice, Sasinowo-Wiórek. </t>
    </r>
    <r>
      <rPr>
        <sz val="7"/>
        <rFont val="Arial"/>
        <family val="2"/>
        <charset val="238"/>
      </rPr>
      <t xml:space="preserve">
Zadanie wykonane i rozliczone.</t>
    </r>
  </si>
  <si>
    <r>
      <rPr>
        <b/>
        <i/>
        <sz val="7"/>
        <rFont val="Arial"/>
        <family val="2"/>
        <charset val="238"/>
      </rPr>
      <t>Projekt chodnika (ciąg pieszo-rowerowy) w ul. Sosnowej w miejscowości Pecna w terenie zabudowanym do granicy lasu.</t>
    </r>
    <r>
      <rPr>
        <sz val="7"/>
        <rFont val="Arial"/>
        <family val="2"/>
        <charset val="238"/>
      </rPr>
      <t xml:space="preserve">
Zadanie przeniesione do realizacji w roku 2023</t>
    </r>
  </si>
  <si>
    <r>
      <rPr>
        <b/>
        <i/>
        <sz val="7"/>
        <rFont val="Arial"/>
        <family val="2"/>
        <charset val="238"/>
      </rPr>
      <t xml:space="preserve">Projekt zatoki autobusowej w ul. Wspólnej w Dymaczewie Nowym. </t>
    </r>
    <r>
      <rPr>
        <sz val="7"/>
        <rFont val="Arial"/>
        <family val="2"/>
        <charset val="238"/>
      </rPr>
      <t xml:space="preserve">
Zadanie nie wykonane ze względu na brak wystarczającego zabezpieczenia środków w planie wydatków 2022.</t>
    </r>
  </si>
  <si>
    <r>
      <rPr>
        <b/>
        <i/>
        <sz val="7"/>
        <rFont val="Arial"/>
        <family val="2"/>
        <charset val="238"/>
      </rPr>
      <t>Projekt organizacji ruchu i budowa przejścia dla pieszych z utwardzeniem pobocza w ul. Szerokiej przy sklepie spożywczym w Mieczewie.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</si>
  <si>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Wykonanie studni Ф1000 z osadnikiem i wypustem ulicznym C250 kN w ul. Różańskiego w Mosinie wraz z podłączeniem do kanalizacji deszczowej w ul. Wodnej w Mosinie.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</si>
  <si>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Budowa/przebudowa przystanków autobusowych w poszczególnych miejscowościach - peron autobusowy w Bolesławcu. 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</si>
  <si>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 xml:space="preserve">Budowa ul. Żeromskiego w Mosinie, etap I. </t>
    </r>
    <r>
      <rPr>
        <sz val="7"/>
        <rFont val="Arial"/>
        <family val="2"/>
        <charset val="238"/>
      </rPr>
      <t xml:space="preserve">
Wykonanie zadania obełmowało finansowanie nadzoru przy zadaniu „budowa ul. Dembowskiego w Mosinie”, w zakresie rzeczowym dot. ul. Żeromskiego w Mosinie.</t>
    </r>
  </si>
  <si>
    <r>
      <rPr>
        <b/>
        <sz val="7"/>
        <rFont val="Arial"/>
        <family val="2"/>
        <charset val="238"/>
      </rPr>
      <t>Projekt ul. Sikorskiego i ul. Podgórnej w Rogalinku.</t>
    </r>
    <r>
      <rPr>
        <sz val="7"/>
        <rFont val="Arial"/>
        <family val="2"/>
        <charset val="238"/>
      </rPr>
      <t xml:space="preserve">
Wartość wykonania planu stanowi rozliczenie częściowe umowy na prace projektowe.</t>
    </r>
  </si>
  <si>
    <r>
      <rPr>
        <b/>
        <i/>
        <sz val="7"/>
        <rFont val="Arial"/>
        <family val="2"/>
        <charset val="238"/>
      </rPr>
      <t xml:space="preserve">Budowa ul. Budzyńskiej z odwodnieniem i przebudową skrzyżowania z ul. Konopnickiej (300 m). </t>
    </r>
    <r>
      <rPr>
        <sz val="7"/>
        <rFont val="Arial"/>
        <family val="2"/>
        <charset val="238"/>
      </rPr>
      <t xml:space="preserve">
Zadanie przeniesione do realizacji w roku 2023.</t>
    </r>
  </si>
  <si>
    <r>
      <rPr>
        <b/>
        <i/>
        <sz val="7"/>
        <color rgb="FF000000"/>
        <rFont val="Arial"/>
        <family val="2"/>
        <charset val="238"/>
      </rPr>
      <t xml:space="preserve">Projekt budowy ulicy Dolnej w Daszewicach. </t>
    </r>
    <r>
      <rPr>
        <sz val="7"/>
        <color rgb="FF000000"/>
        <rFont val="Arial"/>
        <family val="2"/>
        <charset val="238"/>
      </rPr>
      <t xml:space="preserve">
Konieczność zmian w zakresie zapisów formalnych dot. odbiornika wód opadowych i roztpowych w koncepcji odwodnienia pasa drogowego spowodowała brak wykonania zadania. Zadanie przeniesione do realizacji w roku 2023.</t>
    </r>
  </si>
  <si>
    <r>
      <rPr>
        <b/>
        <i/>
        <sz val="7"/>
        <rFont val="Arial"/>
        <family val="2"/>
        <charset val="238"/>
      </rPr>
      <t>Projekt i budowa ul. Tylnej w Krośnie.</t>
    </r>
    <r>
      <rPr>
        <sz val="7"/>
        <rFont val="Arial"/>
        <family val="2"/>
        <charset val="238"/>
      </rPr>
      <t xml:space="preserve">
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</si>
  <si>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Projekt chodnika ul. Dębowa w Nowinkach.</t>
    </r>
    <r>
      <rPr>
        <sz val="7"/>
        <rFont val="Arial"/>
        <family val="2"/>
        <charset val="238"/>
      </rPr>
      <t xml:space="preserve">
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</si>
  <si>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Babki-Kubalin-Głuszyna Leśna: przebudowa chodnika ul. Babicka w stronę Głuszyny załącznik nr 9, poz. 1.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</si>
  <si>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>Krajkowo - Baranowo: projekt i budowa parkingu i chodnika  załącznik nr 9, poz. 8.</t>
    </r>
    <r>
      <rPr>
        <sz val="7"/>
        <rFont val="Arial"/>
        <family val="2"/>
        <charset val="238"/>
      </rPr>
      <t xml:space="preserve">
Zadanie częściowo wykonane (w zakresie zakupu materiału budowlanego).     </t>
    </r>
  </si>
  <si>
    <r>
      <rPr>
        <b/>
        <i/>
        <sz val="7"/>
        <rFont val="Arial"/>
        <family val="2"/>
        <charset val="238"/>
      </rPr>
      <t>Babki - Kubalin - Głuszyna Leśna: przebudowa chodnika ul. Babicka w stronę Głuszyny  załącznik nr 11, poz. 1.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</si>
  <si>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>Krajkowo - Baranowo: budowa parkingu załącznik nr 11, poz. 8.</t>
    </r>
    <r>
      <rPr>
        <sz val="7"/>
        <rFont val="Arial"/>
        <family val="2"/>
        <charset val="238"/>
      </rPr>
      <t xml:space="preserve">
Zadanie wykonane w zakresie opracowania dokumentacji.</t>
    </r>
  </si>
  <si>
    <r>
      <rPr>
        <b/>
        <i/>
        <sz val="7"/>
        <color rgb="FF000000"/>
        <rFont val="Arial"/>
        <family val="2"/>
        <charset val="238"/>
      </rPr>
      <t>Projekt przebudowy drogi dojazdowej od ul. Pożegowskiej w Mosinie do parkingu przy wieży widokowej.</t>
    </r>
    <r>
      <rPr>
        <sz val="7"/>
        <color rgb="FF000000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</si>
  <si>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Radzewice: wykonanie projektów zjazdów w ulice: Wodną, Długą (vis a vis ul. Wiśniowej) i na radzewicką przystań  załącznik nr 11, poz. 14.</t>
    </r>
    <r>
      <rPr>
        <sz val="7"/>
        <rFont val="Arial"/>
        <family val="2"/>
        <charset val="238"/>
      </rPr>
      <t xml:space="preserve">
Zadanie wykonane w zakresie ustalonym jako właściwy do wykonania zjazdów. 
</t>
    </r>
  </si>
  <si>
    <r>
      <rPr>
        <b/>
        <i/>
        <sz val="7"/>
        <color rgb="FF000000"/>
        <rFont val="Arial"/>
        <family val="2"/>
        <charset val="238"/>
      </rPr>
      <t xml:space="preserve">Rogalinek: przebudowa zjazdu w ul. Świerkową w Rogalinku załącznik nr 9, poz. 16. </t>
    </r>
    <r>
      <rPr>
        <sz val="7"/>
        <color rgb="FF000000"/>
        <rFont val="Arial"/>
        <family val="2"/>
        <charset val="238"/>
      </rPr>
      <t xml:space="preserve">
Zadanie wykonane</t>
    </r>
  </si>
  <si>
    <r>
      <rPr>
        <b/>
        <i/>
        <sz val="7"/>
        <color rgb="FF000000"/>
        <rFont val="Arial"/>
        <family val="2"/>
        <charset val="238"/>
      </rPr>
      <t>Rogalinek: przebudowa zjazdu w ul. Świerkową w Rogalinku załącznik nr 11, poz. 16.</t>
    </r>
    <r>
      <rPr>
        <sz val="7"/>
        <color rgb="FF000000"/>
        <rFont val="Arial"/>
        <family val="2"/>
        <charset val="238"/>
      </rPr>
      <t xml:space="preserve">
Zadanie wykonane. </t>
    </r>
  </si>
  <si>
    <t>Zrealizowano 162 dotacje na wymianę źródeł ciepła w budynkach i lokalach mieszkalnych. Niepełne wykorzystanie planu wyniknęło z rezygnacji przez części beneficjentów w IV kwartale.</t>
  </si>
  <si>
    <t xml:space="preserve">Dokonano nabycia prawa własności 37 nieruchomości gruntowych o łącznej powierzchni 3,0465 hektara. Wydatki na ten cel wyniosły łącznie  639 786,18 zł. Nabycia odpłatne zostały zrealizowane w ramach wypłat należnego odszkodowania za utracone prawo własności gruntów przeznaczonych w planach miejscowych pod drogi, także w ramach wydanych decyzji administracyjnych Starosty Poznańskiego ustalającego odszkodowanie za działki objęte inwestycją drogową oraz w ramach wykupów na drodze umów cywilno-prawnych.   </t>
  </si>
  <si>
    <t xml:space="preserve">W ramach realizacji zadania dokonano zakupu licencji na program Graphisoft ArchiCAD Start Edition 2022 (wartość 10.701,00 zł) na potrzeby Referatu Ochrony Środowiska, Rolnictwa i Leśnictwa, rozbudowano sieć komputerową w pokoju nr 9 Urzędu Miejskiego w Mosinie  (wartość 18.280,26) na potrzeby Referatu Podatków i Opłat oraz zakupiono i wdrożono system nagrywania rozmów telefonicznych (wartość 31 763,52 zł) dla całego Urzędu.             </t>
  </si>
  <si>
    <t>Umowa na opracowanie dokumentacji technicznej na wykonanie doświetlenia przejścia dla pieszych oświetleniem dedykowanym, wykonanie przedmiaru robót oraz kosztorysu inwestorskiego dla planowanej inwestycji została zrealizowana.  
Termin podpisanego porozumienia: do dnia 31 grudnia 2023 r. 
W zakresie dokumentacji projektowej zadanie wykonane i rozliczone. 
Realizacja budowy przystanków zaplanowana na rok 2023.</t>
  </si>
  <si>
    <t>1. Budowa przystanku jednostronnego przy drodze powiatowej w m. Dymaczewo Stare, ul. Łąkowa
Termin podpisanego porozumienia: do dnia 31 grudnia 2023 r. 
Umowa dot. wykonania dokumentacji technicznej – zrealizowana. (14 760,00 zł).
2. Budowa przystanku jednostronnego przy drodze powiatowej w m. Świątniki, ul. Śremska (na wysokości posesji nr 18)
Umowa dot. wykonania dokumentacji technicznej – zrealizowana. (15 990,00 zł).
3. Budowa przystanku jednostronnego przy drodze powiatowej w m. Świątniki, dz. o nr ew. 162, obręb ew. Rogalin 
Umowa dot. wykonania dokumentacji technicznej – nie zrealizowana.
W trakcie przygotowywania nowa umowa. 
4. Budowa przystanku jednostronnego przy drodze powiatowej w m. Borkowice, dz. o nr ew. 37/2, obręb ew. Borkowice
Termin podpisanego porozumienia: do dnia 31 grudnia 2023 r. 
Umowa dot. wykonania dokumentacji technicznej – zrealizowana. (14 760,00 zł)
Realizacja budowy przystanków zaplanowana na rok 2023.</t>
  </si>
  <si>
    <r>
      <rPr>
        <b/>
        <i/>
        <sz val="7"/>
        <rFont val="Arial"/>
        <family val="2"/>
        <charset val="238"/>
      </rPr>
      <t>Projekt i wykonanie modernizacji oświetlenia ulicznego na terenie Gminy Mosina.</t>
    </r>
    <r>
      <rPr>
        <sz val="7"/>
        <rFont val="Arial"/>
        <family val="2"/>
        <charset val="238"/>
      </rPr>
      <t xml:space="preserve">
Ze względu na ograniczenie czasowe oraz konieczność przygotowania wymaganej dokumentacji zadanie przeniesiono do realizacji na rok 2023.</t>
    </r>
  </si>
  <si>
    <t xml:space="preserve">24 lutego 2022 r. Rada Miejska podjęła Uchwałę Nr LXII/523/22 w sprawie udzielenia pomocy finansowej Powiatowi Poznańskiemu na zakup sprzętu medycznego dla szpitala w Puszczykowie. W dniu 22 marca 2022 r. Gmina podpisała umowę z Powiatem Poznańskim na realizację przedmiotowej dotacji. Dotacja została wypłacona w dniu 22 marca 2022 r.                        </t>
  </si>
  <si>
    <r>
      <rPr>
        <b/>
        <i/>
        <sz val="7"/>
        <color rgb="FF000000"/>
        <rFont val="Arial"/>
        <family val="2"/>
        <charset val="238"/>
      </rPr>
      <t xml:space="preserve">Budowa ulic Kazimierza Odnowiciela, Bolesława Krzywoustego, Kazimierza Wielkiego, (bez nazwy) odwodnienie oraz ul. Kopernika, Kasztanowa, ul. Chopina (frag.). </t>
    </r>
    <r>
      <rPr>
        <sz val="7"/>
        <color rgb="FF000000"/>
        <rFont val="Arial"/>
        <family val="2"/>
        <charset val="238"/>
      </rPr>
      <t xml:space="preserve">
Zadanie wieloletnie, w trakcie wykonania. </t>
    </r>
  </si>
  <si>
    <t>Zadanie przeniesione do realizacji w roku 2023.</t>
  </si>
  <si>
    <t xml:space="preserve">Wykonano aktualizację dokumentacji projektowej i kosztorysowej. Zadanie wieloletnie. Rozpoczęcie zadania w zakresie robót ze względów formalno - prawnych przeniesione zostało do realizacji na rok 2023.  </t>
  </si>
  <si>
    <r>
      <rPr>
        <b/>
        <i/>
        <sz val="7"/>
        <rFont val="Arial"/>
        <family val="2"/>
        <charset val="238"/>
      </rPr>
      <t>Aktualizacja dokumentacji projektowej budowy sieci kanalizacji sanitarnej w odnodze ul. Sowinieckiej w Mosinie (w kierunku ZUK) w związku ze zmianami powstałymi podczas przebudowy ul. Sowinieckiej.</t>
    </r>
    <r>
      <rPr>
        <sz val="7"/>
        <rFont val="Arial"/>
        <family val="2"/>
        <charset val="238"/>
      </rPr>
      <t xml:space="preserve">
Zadanie w trakcie wykonania; trwa opracowanie dokumentacji projektowej.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</si>
  <si>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Krosinko-Ludwikowo: zakup i montaż kamer zewnętrznych i wewnętrznych na terenie działki 149/6 oraz w budynku świetlicy wiejskiej  załącznik nr 9, poz. 9.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</si>
  <si>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>Mieczewo: monitoring świetlicy i terenu wokół świetlicy załącznik nr 9, poz. 11.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</si>
  <si>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Budowa oświetlenia drogowego w Mosinie ul. Krańcowa. 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</si>
  <si>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 xml:space="preserve">Budowa oświetlenia drogowego w Krosinku ul. Piaskowa i Malinowa.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</si>
  <si>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Budowa oświetlenia drogowego w Dymaczewie Starym ul. Nad Stawem.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</si>
  <si>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Budowa oświetlenia drogowego w Sowinkach ul. Miętowa.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</si>
  <si>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Budowa oświetlenia drogowego w Borkowicach ul. Łubinowa, Słonecznikowa, Chabrowa, Makowa.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</si>
  <si>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w Dymaczewie Starym, ul. Leśna.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</si>
  <si>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w Dymaczewie Starym, ul. Dereniowa.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</si>
  <si>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w Krosinku ul. Czeremchowa.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</si>
  <si>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Projekt oświetlenia drogowego w Krosinku, ul. Magnoliowa.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</si>
  <si>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w Rogalinku ul. Kręta.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</si>
  <si>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w Rogalinie os. Pod Dębami ul. Bukowa.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</si>
  <si>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drogowego ul. Polna w Czapurach.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</si>
  <si>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i budowa lamp solarnych przy drodze dojazdowej do cmentarza w Krośnie.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</si>
  <si>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Projekt oświetlenia terenu Glinianek od parkingu do plaży.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</si>
  <si>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color rgb="FF000000"/>
        <rFont val="Arial"/>
        <family val="2"/>
        <charset val="238"/>
      </rPr>
      <t>Budowa oświetlenia ul. Wspólnej w Dymaczewie Nowym.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</si>
  <si>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color rgb="FF000000"/>
        <rFont val="Arial"/>
        <family val="2"/>
        <charset val="238"/>
      </rPr>
      <t>Projekt i budowa lampy solarnej: Mieczewo ul. Kasztanowa/Ogrodowa.</t>
    </r>
    <r>
      <rPr>
        <sz val="7"/>
        <color rgb="FF000000"/>
        <rFont val="Arial"/>
        <family val="2"/>
        <charset val="238"/>
      </rPr>
      <t xml:space="preserve">
Zadanie wykonane.</t>
    </r>
  </si>
  <si>
    <r>
      <rPr>
        <b/>
        <i/>
        <sz val="7"/>
        <color rgb="FF000000"/>
        <rFont val="Arial"/>
        <family val="2"/>
        <charset val="238"/>
      </rPr>
      <t>Budowa oświetlenia ulicznego ul. Gajowej w Mosinie.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</si>
  <si>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color rgb="FF000000"/>
        <rFont val="Arial"/>
        <family val="2"/>
        <charset val="238"/>
      </rPr>
      <t>Budowa oświetlenia ul. Stryjeńskiej i ul. Malczewskiego w Mosinie.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</si>
  <si>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color rgb="FF000000"/>
        <rFont val="Arial"/>
        <family val="2"/>
        <charset val="238"/>
      </rPr>
      <t>Budowa oświetlenia ul. Wierzbowej i ul. Lipowej w Mieczewie.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</si>
  <si>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color rgb="FF000000"/>
        <rFont val="Arial"/>
        <family val="2"/>
        <charset val="238"/>
      </rPr>
      <t xml:space="preserve">Budowa oświetlenia drogowego ul. Mosińskiej w Borkowicach. </t>
    </r>
    <r>
      <rPr>
        <sz val="7"/>
        <color rgb="FF000000"/>
        <rFont val="Arial"/>
        <family val="2"/>
        <charset val="238"/>
      </rPr>
      <t xml:space="preserve">
Zadanie wykonane.</t>
    </r>
  </si>
  <si>
    <r>
      <rPr>
        <b/>
        <i/>
        <sz val="7"/>
        <color rgb="FF000000"/>
        <rFont val="Arial"/>
        <family val="2"/>
        <charset val="238"/>
      </rPr>
      <t>Budowa oświetlenia drogowego w Borkowicach - boisko piłkarskie.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</si>
  <si>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color rgb="FF000000"/>
        <rFont val="Arial"/>
        <family val="2"/>
        <charset val="238"/>
      </rPr>
      <t>Projekt oświetlenia drogowego ul. Jesionowej w Drużynie i ul. Klonowej w Nowinkach.</t>
    </r>
    <r>
      <rPr>
        <sz val="7"/>
        <color rgb="FF000000"/>
        <rFont val="Arial"/>
        <family val="2"/>
        <charset val="238"/>
      </rPr>
      <t xml:space="preserve">
Zadanie wykonane.</t>
    </r>
  </si>
  <si>
    <r>
      <rPr>
        <b/>
        <i/>
        <sz val="7"/>
        <color rgb="FF000000"/>
        <rFont val="Arial"/>
        <family val="2"/>
        <charset val="238"/>
      </rPr>
      <t>Projekt oświetlenia drogowego w Drużynie - odcinek przy drodze powiatowej od dworca PKP do ul. Krańcowej.</t>
    </r>
    <r>
      <rPr>
        <sz val="7"/>
        <color rgb="FF000000"/>
        <rFont val="Arial"/>
        <family val="2"/>
        <charset val="238"/>
      </rPr>
      <t xml:space="preserve">
Zadanie wykonane.</t>
    </r>
  </si>
  <si>
    <r>
      <rPr>
        <b/>
        <i/>
        <sz val="7"/>
        <color rgb="FF000000"/>
        <rFont val="Arial"/>
        <family val="2"/>
        <charset val="238"/>
      </rPr>
      <t>Projekt oświetlenia drogowego na ul. Sikorskiego w Rogalinku - dz. nr 132/5 i 132/11.</t>
    </r>
    <r>
      <rPr>
        <sz val="7"/>
        <color rgb="FF000000"/>
        <rFont val="Arial"/>
        <family val="2"/>
        <charset val="238"/>
      </rPr>
      <t xml:space="preserve">
Zadanie wykonane.</t>
    </r>
  </si>
  <si>
    <r>
      <rPr>
        <b/>
        <i/>
        <sz val="7"/>
        <color rgb="FF000000"/>
        <rFont val="Arial"/>
        <family val="2"/>
        <charset val="238"/>
      </rPr>
      <t>Projekt i budowa oświetlenia 2 lamp solarnych w Żabinku przy Altance Edukacyjno – Przyrodniczej.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
</t>
    </r>
  </si>
  <si>
    <r>
      <rPr>
        <b/>
        <i/>
        <sz val="7"/>
        <color rgb="FF000000"/>
        <rFont val="Arial"/>
        <family val="2"/>
        <charset val="238"/>
      </rPr>
      <t xml:space="preserve">Budowa oświetlenia ul. Nad Lasem w Sowinkach. </t>
    </r>
    <r>
      <rPr>
        <sz val="7"/>
        <color rgb="FF000000"/>
        <rFont val="Arial"/>
        <family val="2"/>
        <charset val="238"/>
      </rPr>
      <t xml:space="preserve">
Zadanie w trakcie wykonania. Wykonanie planu dot. zaangażowania środków na rok 2022 (z uwzględnieniem wartości środków niewygasających).</t>
    </r>
  </si>
  <si>
    <r>
      <rPr>
        <b/>
        <i/>
        <sz val="7"/>
        <rFont val="Arial"/>
        <family val="2"/>
        <charset val="238"/>
      </rPr>
      <t>Opłaty przyłaczeniowe wynikające z zawartych umów z Enea na wykonanie przyłączy elektroenergetycznych.</t>
    </r>
    <r>
      <rPr>
        <sz val="7"/>
        <rFont val="Arial"/>
        <family val="2"/>
        <charset val="238"/>
      </rPr>
      <t xml:space="preserve">
Zadanie wykonane w ustalonym zakresie. </t>
    </r>
  </si>
  <si>
    <r>
      <rPr>
        <b/>
        <i/>
        <sz val="7"/>
        <rFont val="Arial"/>
        <family val="2"/>
        <charset val="238"/>
      </rPr>
      <t xml:space="preserve">Sołectwo Rogalin: budowa oświetlenia zewnętrznego w Rogalinie działka nr 207 - boisko trawiaste.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</si>
  <si>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Sołectwo Sasinowo: budowa oświetlenia drogowego w Sasionowie ul. Leśna – kontynuacja.  </t>
    </r>
    <r>
      <rPr>
        <sz val="7"/>
        <rFont val="Arial"/>
        <family val="2"/>
        <charset val="238"/>
      </rPr>
      <t xml:space="preserve">              Zadanie wykonane. </t>
    </r>
  </si>
  <si>
    <r>
      <rPr>
        <b/>
        <i/>
        <sz val="7"/>
        <rFont val="Arial"/>
        <family val="2"/>
        <charset val="238"/>
      </rPr>
      <t xml:space="preserve">Sowinki - Sowiniec: realizacja oświetlenia drogowego ul. Nad Lasem w Sowinkach - kontynuacja  - załącznik nr 9, poz. 18.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</si>
  <si>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Sołectwo Sowinki - Sowiniec: realizacja oświetlenia drogowego ul. Miętowa w Sowinkach - kontynuacja - załącznik nr 11, poz. 18.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</si>
  <si>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Osiedle Nr 2: instalacja 2 lamp przy placu zabaw ul. Czajkowskiego w Mosinie - załącznik nr 11, poz. 23.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</si>
  <si>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Sołectwo Krosinko - Ludwikowo: zagospodarowanie i wyposażenie działek nr 115 oraz 70/13 (obręb Krosinko) w małą architekturę oraz nasadzenie krzewów i drzew  - załącznik  nr 11, poz. 9.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</si>
  <si>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>Osiedle Nr 3: poprawa stanu przestrzeni wspólnych na Osiedlu wraz z rozbudową miejsca rekreacyjno - wypoczynkowego przeznaczonego dla mieszkańców - załącznik nr 11, poz. 24.</t>
    </r>
    <r>
      <rPr>
        <sz val="7"/>
        <rFont val="Arial"/>
        <family val="2"/>
        <charset val="238"/>
      </rPr>
      <t xml:space="preserve">
Zadanie wykonane w ustalonym zakresie. </t>
    </r>
  </si>
  <si>
    <r>
      <rPr>
        <b/>
        <i/>
        <sz val="7"/>
        <rFont val="Arial"/>
        <family val="2"/>
        <charset val="238"/>
      </rPr>
      <t>Osiedle Nr 5: realizacja projektu na zagospodarowanie skweru na placu po sklepie spożywczym przy ulicy Krosińskiej - załącznik nr 11, poz. 26.</t>
    </r>
    <r>
      <rPr>
        <sz val="7"/>
        <rFont val="Arial"/>
        <family val="2"/>
        <charset val="238"/>
      </rPr>
      <t xml:space="preserve">
Zadanie częściowo wykonane w zakresie dokumentacji projektowej. </t>
    </r>
  </si>
  <si>
    <t>Wykonano aktualizację dokumentacji kosztorysowej. Zadanie przeniesione do realizacji w roku 2023.</t>
  </si>
  <si>
    <t>Koszt wykonania projektu adaptacji pomieszczenia po kotłowni w budynku pracowni artystycznej w Rogalinku przekracza środki zabezpieczone w budżecie - brak możliwości realizacji.</t>
  </si>
  <si>
    <r>
      <rPr>
        <b/>
        <i/>
        <sz val="7"/>
        <rFont val="Arial"/>
        <family val="2"/>
        <charset val="238"/>
      </rPr>
      <t xml:space="preserve">Projekt i wykonanie instalacji fotowoltaicznej w budynkach świetlic wiejskich w Żabinku, Mieczewie i Borkowicach. </t>
    </r>
    <r>
      <rPr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Zadanie przeniesione do realizacji w roku 2023.</t>
    </r>
  </si>
  <si>
    <r>
      <rPr>
        <b/>
        <i/>
        <sz val="7"/>
        <rFont val="Arial"/>
        <family val="2"/>
        <charset val="238"/>
      </rPr>
      <t xml:space="preserve">Bolesławiec - Borkowice: zagospodarowanie terenu wokół świetlicy wiejskiej - załącznik nr 9, poz. 3.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</si>
  <si>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Krosinko - Ludwikowo: zagospodarowanie terenu wokół świetlicy wiejskiej - kwota 4.000,00 zł - załącznik nr 9,  poz. 9. </t>
    </r>
    <r>
      <rPr>
        <sz val="7"/>
        <rFont val="Arial"/>
        <family val="2"/>
        <charset val="238"/>
      </rPr>
      <t xml:space="preserve">
Zadanie wykonane.</t>
    </r>
  </si>
  <si>
    <r>
      <rPr>
        <b/>
        <i/>
        <sz val="7"/>
        <rFont val="Arial"/>
        <family val="2"/>
        <charset val="238"/>
      </rPr>
      <t>Krosinko - Ludwikowo: Modernizacja pomieszczeń piwniczych w świetlicy wiejskiej  - załącznik nr 9,  poz. 9.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</si>
  <si>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Pecna - Konstantynowo - modernizacja sanitariatów w budynku świetlicy - załącznik nr 9, poz. 13. </t>
    </r>
    <r>
      <rPr>
        <sz val="7"/>
        <rFont val="Arial"/>
        <family val="2"/>
        <charset val="238"/>
      </rPr>
      <t xml:space="preserve">
Zadanie wykonane w ustalonym zakresie planu wydatków 2022. </t>
    </r>
  </si>
  <si>
    <r>
      <rPr>
        <b/>
        <i/>
        <sz val="7"/>
        <rFont val="Arial"/>
        <family val="2"/>
        <charset val="238"/>
      </rPr>
      <t>Mieczewo: zakup kontenera na narzędzia  - załącznik nr 11, poz. 12.</t>
    </r>
    <r>
      <rPr>
        <sz val="7"/>
        <rFont val="Arial"/>
        <family val="2"/>
        <charset val="238"/>
      </rPr>
      <t xml:space="preserve"> 
Zadanie wykonane.</t>
    </r>
  </si>
  <si>
    <r>
      <rPr>
        <b/>
        <i/>
        <sz val="7"/>
        <rFont val="Arial"/>
        <family val="2"/>
        <charset val="238"/>
      </rPr>
      <t xml:space="preserve">Czapury: przygotowanie i ułożenie bezpiecznej nawierzchni na placu zabaw - działka nr 49/7                         w Czapurach -  załącznik nr 9, poz. 4. </t>
    </r>
    <r>
      <rPr>
        <sz val="7"/>
        <rFont val="Arial"/>
        <family val="2"/>
        <charset val="238"/>
      </rPr>
      <t xml:space="preserve">
Zadanie wykonane. </t>
    </r>
  </si>
  <si>
    <r>
      <rPr>
        <b/>
        <i/>
        <sz val="7"/>
        <rFont val="Arial"/>
        <family val="2"/>
        <charset val="238"/>
      </rPr>
      <t xml:space="preserve">Czapury: przygotowanie i ułożenie bezpiecznej nawierzchni na placu zabaw - działka nr 49/7                 w Czapurach - załącznik nr 11, poz. 4. </t>
    </r>
    <r>
      <rPr>
        <sz val="7"/>
        <rFont val="Arial"/>
        <family val="2"/>
        <charset val="238"/>
      </rPr>
      <t xml:space="preserve">
Zadanie wykonane. </t>
    </r>
  </si>
  <si>
    <t>Zadanie realizowane w ramach środków niewygasających roku 2022 na podstawie Uchwały Nr LXXVIII/648/22 Rady Miejskiej w Mosnie z dnia 19 grudnia 2022 r.</t>
  </si>
  <si>
    <t xml:space="preserve">Zadanie wykonano. </t>
  </si>
  <si>
    <r>
      <rPr>
        <b/>
        <i/>
        <sz val="7"/>
        <rFont val="Arial"/>
        <family val="2"/>
        <charset val="238"/>
      </rPr>
      <t xml:space="preserve">Osiedle Nr 3: zakup kosiarki (traktorka) na potrzeby utrzymania terenów zielonych - załącznik nr 11, poz. 24  </t>
    </r>
    <r>
      <rPr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Zadanie wykonano.</t>
    </r>
  </si>
  <si>
    <r>
      <rPr>
        <b/>
        <i/>
        <sz val="7"/>
        <rFont val="Arial"/>
        <family val="2"/>
        <charset val="238"/>
      </rPr>
      <t xml:space="preserve">Kosiarka samojezdna do pielęgnacji zieleni.    </t>
    </r>
    <r>
      <rPr>
        <sz val="7"/>
        <rFont val="Arial"/>
        <family val="2"/>
        <charset val="238"/>
      </rPr>
      <t xml:space="preserve">                                                                                                   Zadane wykonane.</t>
    </r>
  </si>
  <si>
    <t xml:space="preserve">Dotacja dla Ochotniczej Straży Pożarnej w Radzewicach na zadanie: „Dostawa ciężkiego samochodu ratowniczo-gaśniczego GCBA 5/32 4x4 dla Ochotniczej Straży Pożarnej w Radzewicach". 
Uchwałą nr XXXVIII/501/VI/2022 Rady Powiatu Poznańskiego z dnia 30 marca 2022 r. uzyskano dodatkowe środki w formie dotacji celowej na w/w zadanie w wysokości 150 000. 00 zł.  W dniu 27.10.2022 r. zawarto umowę z firmą Stolarczyk Mirosław. Technologia Pożarnicza na dostawę ciężkiego samochodu ratowiczo - gaśniczego z napedem 4x4 marka, typ pojazdu Stolarczyk/MAN, L2007.46010, TGM o wartości 1.230.000,00 zł. Zadanie zrealizowane i rozliczone. </t>
  </si>
  <si>
    <t>2.</t>
  </si>
  <si>
    <t>3.</t>
  </si>
  <si>
    <t>5.</t>
  </si>
  <si>
    <t>6.</t>
  </si>
  <si>
    <t>7.</t>
  </si>
  <si>
    <t>9.</t>
  </si>
  <si>
    <t>13.</t>
  </si>
  <si>
    <t>17.</t>
  </si>
  <si>
    <t>20.</t>
  </si>
  <si>
    <t>26.</t>
  </si>
  <si>
    <t>28.</t>
  </si>
  <si>
    <t>30.</t>
  </si>
  <si>
    <t>31.</t>
  </si>
  <si>
    <t>34.</t>
  </si>
  <si>
    <t>37.</t>
  </si>
  <si>
    <t>41.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</si>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</sst>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_ ;[Red]\-#,##0.00\ "/>
  </numFmts>
  <fonts count="18" x14ac:knownFonts="1"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  <charset val="1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trike/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name val="Calibri"/>
      <family val="2"/>
      <charset val="238"/>
    </font>
    <font>
      <sz val="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7"/>
      <name val="Arial"/>
      <family val="2"/>
      <charset val="238"/>
    </font>
    <font>
      <b/>
      <i/>
      <sz val="7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5" fillId="0" borderId="0" applyBorder="0" applyProtection="0"/>
  </cellStyleXfs>
  <cellXfs count="151">
    <xf numFmtId="0" fontId="0" fillId="0" borderId="0" xfId="0"/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/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1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4" fontId="8" fillId="4" borderId="1" xfId="0" applyNumberFormat="1" applyFont="1" applyFill="1" applyBorder="1" applyAlignment="1" applyProtection="1">
      <alignment vertical="center"/>
      <protection locked="0"/>
    </xf>
    <xf numFmtId="165" fontId="8" fillId="4" borderId="1" xfId="0" applyNumberFormat="1" applyFont="1" applyFill="1" applyBorder="1" applyAlignment="1" applyProtection="1">
      <alignment vertical="center"/>
      <protection locked="0"/>
    </xf>
    <xf numFmtId="10" fontId="8" fillId="4" borderId="1" xfId="0" applyNumberFormat="1" applyFont="1" applyFill="1" applyBorder="1" applyAlignment="1" applyProtection="1">
      <alignment horizontal="right" vertical="center"/>
      <protection locked="0"/>
    </xf>
    <xf numFmtId="4" fontId="8" fillId="4" borderId="1" xfId="0" applyNumberFormat="1" applyFont="1" applyFill="1" applyBorder="1" applyAlignment="1" applyProtection="1">
      <alignment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4" fontId="8" fillId="4" borderId="3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vertical="center" wrapText="1"/>
      <protection locked="0"/>
    </xf>
    <xf numFmtId="4" fontId="8" fillId="4" borderId="5" xfId="0" applyNumberFormat="1" applyFont="1" applyFill="1" applyBorder="1" applyAlignment="1" applyProtection="1">
      <alignment vertical="center"/>
      <protection locked="0"/>
    </xf>
    <xf numFmtId="165" fontId="8" fillId="4" borderId="5" xfId="0" applyNumberFormat="1" applyFont="1" applyFill="1" applyBorder="1" applyAlignment="1" applyProtection="1">
      <alignment vertical="center"/>
      <protection locked="0"/>
    </xf>
    <xf numFmtId="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/>
    <xf numFmtId="0" fontId="0" fillId="0" borderId="7" xfId="0" applyBorder="1"/>
    <xf numFmtId="10" fontId="7" fillId="3" borderId="1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4" fontId="8" fillId="4" borderId="10" xfId="0" applyNumberFormat="1" applyFont="1" applyFill="1" applyBorder="1" applyAlignment="1" applyProtection="1">
      <alignment vertical="center"/>
      <protection locked="0"/>
    </xf>
    <xf numFmtId="10" fontId="8" fillId="4" borderId="2" xfId="0" applyNumberFormat="1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4" fontId="8" fillId="4" borderId="1" xfId="0" applyNumberFormat="1" applyFont="1" applyFill="1" applyBorder="1" applyAlignment="1" applyProtection="1">
      <alignment horizontal="left" vertical="top"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/>
    <xf numFmtId="165" fontId="8" fillId="0" borderId="1" xfId="0" applyNumberFormat="1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 applyProtection="1">
      <alignment horizontal="right" vertical="center"/>
      <protection locked="0"/>
    </xf>
    <xf numFmtId="4" fontId="8" fillId="4" borderId="1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vertical="center"/>
      <protection locked="0"/>
    </xf>
    <xf numFmtId="10" fontId="7" fillId="3" borderId="2" xfId="0" applyNumberFormat="1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10" fontId="8" fillId="4" borderId="1" xfId="0" applyNumberFormat="1" applyFont="1" applyFill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4" borderId="1" xfId="2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4" fontId="8" fillId="4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8" fillId="4" borderId="1" xfId="1" applyNumberFormat="1" applyFont="1" applyFill="1" applyBorder="1" applyAlignment="1" applyProtection="1">
      <alignment vertical="center"/>
      <protection locked="0"/>
    </xf>
    <xf numFmtId="4" fontId="8" fillId="4" borderId="1" xfId="1" applyNumberFormat="1" applyFont="1" applyFill="1" applyBorder="1" applyAlignment="1" applyProtection="1">
      <alignment horizontal="left" vertical="center" wrapText="1"/>
      <protection locked="0"/>
    </xf>
    <xf numFmtId="4" fontId="8" fillId="4" borderId="1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8" fillId="0" borderId="1" xfId="0" applyNumberFormat="1" applyFont="1" applyBorder="1" applyAlignment="1">
      <alignment horizontal="right" vertical="center"/>
    </xf>
    <xf numFmtId="4" fontId="8" fillId="4" borderId="9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10" fontId="8" fillId="4" borderId="11" xfId="0" applyNumberFormat="1" applyFont="1" applyFill="1" applyBorder="1" applyAlignment="1" applyProtection="1">
      <alignment vertical="center"/>
      <protection locked="0"/>
    </xf>
    <xf numFmtId="10" fontId="7" fillId="3" borderId="11" xfId="0" applyNumberFormat="1" applyFont="1" applyFill="1" applyBorder="1" applyAlignment="1" applyProtection="1">
      <alignment vertical="center"/>
      <protection locked="0"/>
    </xf>
    <xf numFmtId="4" fontId="7" fillId="4" borderId="1" xfId="0" applyNumberFormat="1" applyFont="1" applyFill="1" applyBorder="1" applyAlignment="1" applyProtection="1">
      <alignment horizontal="right" vertical="center"/>
      <protection locked="0"/>
    </xf>
    <xf numFmtId="165" fontId="8" fillId="4" borderId="1" xfId="0" applyNumberFormat="1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left" vertical="center" wrapText="1"/>
      <protection locked="0"/>
    </xf>
    <xf numFmtId="4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2" fillId="4" borderId="2" xfId="0" applyFont="1" applyFill="1" applyBorder="1" applyAlignment="1">
      <alignment horizontal="justify" vertical="center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4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3" xfId="0" applyNumberFormat="1" applyFont="1" applyFill="1" applyBorder="1" applyAlignment="1" applyProtection="1">
      <alignment horizontal="right" vertical="center"/>
      <protection locked="0"/>
    </xf>
    <xf numFmtId="165" fontId="8" fillId="4" borderId="3" xfId="0" applyNumberFormat="1" applyFont="1" applyFill="1" applyBorder="1" applyAlignment="1" applyProtection="1">
      <alignment vertical="center"/>
      <protection locked="0"/>
    </xf>
    <xf numFmtId="10" fontId="8" fillId="4" borderId="3" xfId="0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3" borderId="3" xfId="0" applyNumberFormat="1" applyFont="1" applyFill="1" applyBorder="1" applyAlignment="1" applyProtection="1">
      <alignment horizontal="right" vertical="center"/>
      <protection locked="0"/>
    </xf>
    <xf numFmtId="10" fontId="7" fillId="3" borderId="3" xfId="0" applyNumberFormat="1" applyFont="1" applyFill="1" applyBorder="1" applyAlignment="1" applyProtection="1">
      <alignment vertical="center"/>
      <protection locked="0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3" xfId="0" applyNumberFormat="1" applyFont="1" applyBorder="1" applyAlignment="1" applyProtection="1">
      <alignment horizontal="right" vertical="center"/>
      <protection locked="0"/>
    </xf>
    <xf numFmtId="4" fontId="8" fillId="4" borderId="3" xfId="0" applyNumberFormat="1" applyFont="1" applyFill="1" applyBorder="1" applyAlignment="1" applyProtection="1">
      <alignment vertical="center"/>
      <protection locked="0"/>
    </xf>
    <xf numFmtId="165" fontId="8" fillId="0" borderId="3" xfId="0" applyNumberFormat="1" applyFont="1" applyBorder="1" applyAlignment="1" applyProtection="1">
      <alignment vertical="center"/>
      <protection locked="0"/>
    </xf>
    <xf numFmtId="0" fontId="13" fillId="0" borderId="0" xfId="0" applyFont="1"/>
    <xf numFmtId="4" fontId="0" fillId="0" borderId="0" xfId="0" applyNumberFormat="1"/>
    <xf numFmtId="4" fontId="14" fillId="0" borderId="0" xfId="0" applyNumberFormat="1" applyFont="1"/>
    <xf numFmtId="4" fontId="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vertical="center" wrapText="1"/>
      <protection locked="0"/>
    </xf>
    <xf numFmtId="165" fontId="8" fillId="6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zal_Szczecin" xfId="1" xr:uid="{00000000-0005-0000-0000-000006000000}"/>
    <cellStyle name="Walutowy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76"/>
  <sheetViews>
    <sheetView tabSelected="1" topLeftCell="A151" zoomScale="130" zoomScaleNormal="130" workbookViewId="0">
      <selection activeCell="A165" sqref="A165"/>
    </sheetView>
  </sheetViews>
  <sheetFormatPr defaultColWidth="8.5703125" defaultRowHeight="15" x14ac:dyDescent="0.25"/>
  <cols>
    <col min="1" max="1" width="3" style="5" customWidth="1"/>
    <col min="2" max="2" width="21.28515625" customWidth="1"/>
    <col min="3" max="3" width="10.42578125" customWidth="1"/>
    <col min="4" max="6" width="10.5703125" customWidth="1"/>
    <col min="7" max="7" width="62.28515625" customWidth="1"/>
    <col min="8" max="8" width="6.42578125" customWidth="1"/>
    <col min="9" max="9" width="8.85546875" style="6" customWidth="1"/>
  </cols>
  <sheetData>
    <row r="1" spans="1:8" ht="13.9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ht="12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</row>
    <row r="3" spans="1:8" ht="12.75" customHeight="1" x14ac:dyDescent="0.25">
      <c r="A3" s="124" t="s">
        <v>2</v>
      </c>
      <c r="B3" s="124"/>
      <c r="C3" s="124"/>
      <c r="D3" s="124"/>
      <c r="E3" s="124"/>
      <c r="F3" s="124"/>
      <c r="G3" s="124"/>
      <c r="H3" s="124"/>
    </row>
    <row r="4" spans="1:8" ht="15.75" customHeight="1" x14ac:dyDescent="0.25">
      <c r="A4" s="125" t="s">
        <v>3</v>
      </c>
      <c r="B4" s="125"/>
      <c r="C4" s="125"/>
      <c r="D4" s="125"/>
      <c r="E4" s="125"/>
      <c r="F4" s="125"/>
      <c r="G4" s="125"/>
      <c r="H4" s="125"/>
    </row>
    <row r="5" spans="1:8" ht="15.75" x14ac:dyDescent="0.25">
      <c r="A5" s="4"/>
      <c r="B5" s="4"/>
      <c r="C5" s="4"/>
      <c r="D5" s="7"/>
      <c r="E5" s="4"/>
      <c r="F5" s="4"/>
      <c r="G5" s="7"/>
      <c r="H5" s="4"/>
    </row>
    <row r="6" spans="1:8" ht="13.9" customHeight="1" x14ac:dyDescent="0.25">
      <c r="A6" s="126" t="s">
        <v>4</v>
      </c>
      <c r="B6" s="127" t="s">
        <v>5</v>
      </c>
      <c r="C6" s="127" t="s">
        <v>6</v>
      </c>
      <c r="D6" s="127" t="s">
        <v>7</v>
      </c>
      <c r="E6" s="128" t="s">
        <v>8</v>
      </c>
      <c r="F6" s="128" t="s">
        <v>9</v>
      </c>
      <c r="G6" s="127" t="s">
        <v>10</v>
      </c>
      <c r="H6" s="126" t="s">
        <v>11</v>
      </c>
    </row>
    <row r="7" spans="1:8" ht="4.5" customHeight="1" x14ac:dyDescent="0.25">
      <c r="A7" s="126"/>
      <c r="B7" s="127"/>
      <c r="C7" s="127"/>
      <c r="D7" s="127"/>
      <c r="E7" s="128"/>
      <c r="F7" s="128"/>
      <c r="G7" s="127"/>
      <c r="H7" s="126"/>
    </row>
    <row r="8" spans="1:8" ht="15" customHeight="1" x14ac:dyDescent="0.25">
      <c r="A8" s="126"/>
      <c r="B8" s="127"/>
      <c r="C8" s="127"/>
      <c r="D8" s="127"/>
      <c r="E8" s="128"/>
      <c r="F8" s="128"/>
      <c r="G8" s="127"/>
      <c r="H8" s="126"/>
    </row>
    <row r="9" spans="1:8" x14ac:dyDescent="0.25">
      <c r="A9" s="126"/>
      <c r="B9" s="127"/>
      <c r="C9" s="127"/>
      <c r="D9" s="127"/>
      <c r="E9" s="128"/>
      <c r="F9" s="128"/>
      <c r="G9" s="127"/>
      <c r="H9" s="126"/>
    </row>
    <row r="10" spans="1:8" ht="8.25" customHeight="1" x14ac:dyDescent="0.25">
      <c r="A10" s="126"/>
      <c r="B10" s="127"/>
      <c r="C10" s="127"/>
      <c r="D10" s="127"/>
      <c r="E10" s="128"/>
      <c r="F10" s="128"/>
      <c r="G10" s="127"/>
      <c r="H10" s="126"/>
    </row>
    <row r="11" spans="1:8" ht="29.25" customHeight="1" x14ac:dyDescent="0.25">
      <c r="A11" s="126"/>
      <c r="B11" s="3" t="s">
        <v>12</v>
      </c>
      <c r="C11" s="127"/>
      <c r="D11" s="127"/>
      <c r="E11" s="128"/>
      <c r="F11" s="128"/>
      <c r="G11" s="127"/>
      <c r="H11" s="126"/>
    </row>
    <row r="12" spans="1:8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9">
        <v>7</v>
      </c>
      <c r="H12" s="8">
        <v>8</v>
      </c>
    </row>
    <row r="13" spans="1:8" x14ac:dyDescent="0.25">
      <c r="A13" s="129" t="s">
        <v>13</v>
      </c>
      <c r="B13" s="129"/>
      <c r="C13" s="10">
        <f>SUM(C14:C15)</f>
        <v>10504721.1</v>
      </c>
      <c r="D13" s="10">
        <f>SUM(D14:D15)</f>
        <v>204721.1</v>
      </c>
      <c r="E13" s="10">
        <f>SUM(E14:E15)</f>
        <v>126086.20000000001</v>
      </c>
      <c r="F13" s="11">
        <f t="shared" ref="F13:F48" si="0">E13/D13</f>
        <v>0.61589254844761976</v>
      </c>
      <c r="G13" s="10"/>
      <c r="H13" s="12"/>
    </row>
    <row r="14" spans="1:8" ht="52.5" customHeight="1" x14ac:dyDescent="0.25">
      <c r="A14" s="13" t="s">
        <v>14</v>
      </c>
      <c r="B14" s="14" t="s">
        <v>15</v>
      </c>
      <c r="C14" s="15">
        <f>660000-74000-81278.9</f>
        <v>504721.1</v>
      </c>
      <c r="D14" s="15">
        <v>104721.1</v>
      </c>
      <c r="E14" s="16">
        <v>104721.1</v>
      </c>
      <c r="F14" s="17">
        <f t="shared" si="0"/>
        <v>1</v>
      </c>
      <c r="G14" s="18" t="s">
        <v>131</v>
      </c>
      <c r="H14" s="19" t="s">
        <v>16</v>
      </c>
    </row>
    <row r="15" spans="1:8" ht="30" customHeight="1" x14ac:dyDescent="0.25">
      <c r="A15" s="20" t="s">
        <v>230</v>
      </c>
      <c r="B15" s="21" t="s">
        <v>18</v>
      </c>
      <c r="C15" s="15">
        <v>10000000</v>
      </c>
      <c r="D15" s="15">
        <v>100000</v>
      </c>
      <c r="E15" s="16">
        <v>21365.1</v>
      </c>
      <c r="F15" s="17">
        <f t="shared" si="0"/>
        <v>0.21365099999999998</v>
      </c>
      <c r="G15" s="21" t="s">
        <v>132</v>
      </c>
      <c r="H15" s="19" t="s">
        <v>19</v>
      </c>
    </row>
    <row r="16" spans="1:8" ht="18" customHeight="1" x14ac:dyDescent="0.25">
      <c r="A16" s="130" t="s">
        <v>20</v>
      </c>
      <c r="B16" s="130"/>
      <c r="C16" s="22">
        <f>SUM(C17:C17)</f>
        <v>220000</v>
      </c>
      <c r="D16" s="22">
        <f>SUM(D17:D17)</f>
        <v>100000</v>
      </c>
      <c r="E16" s="22">
        <f>SUM(E17:E17)</f>
        <v>14760</v>
      </c>
      <c r="F16" s="11">
        <f t="shared" si="0"/>
        <v>0.14760000000000001</v>
      </c>
      <c r="G16" s="22"/>
      <c r="H16" s="12"/>
    </row>
    <row r="17" spans="1:9" ht="70.5" customHeight="1" x14ac:dyDescent="0.25">
      <c r="A17" s="23" t="s">
        <v>231</v>
      </c>
      <c r="B17" s="24" t="s">
        <v>22</v>
      </c>
      <c r="C17" s="15">
        <f>220000</f>
        <v>220000</v>
      </c>
      <c r="D17" s="16">
        <v>100000</v>
      </c>
      <c r="E17" s="16">
        <v>14760</v>
      </c>
      <c r="F17" s="17">
        <f t="shared" si="0"/>
        <v>0.14760000000000001</v>
      </c>
      <c r="G17" s="24" t="s">
        <v>170</v>
      </c>
      <c r="H17" s="25" t="s">
        <v>19</v>
      </c>
    </row>
    <row r="18" spans="1:9" ht="15.75" customHeight="1" x14ac:dyDescent="0.25">
      <c r="A18" s="131" t="s">
        <v>23</v>
      </c>
      <c r="B18" s="131"/>
      <c r="C18" s="22">
        <f>C19</f>
        <v>680000</v>
      </c>
      <c r="D18" s="22">
        <f>D19</f>
        <v>195000</v>
      </c>
      <c r="E18" s="22">
        <f>E19</f>
        <v>10270.5</v>
      </c>
      <c r="F18" s="11">
        <f t="shared" si="0"/>
        <v>5.2669230769230767E-2</v>
      </c>
      <c r="G18" s="22"/>
      <c r="H18" s="22"/>
    </row>
    <row r="19" spans="1:9" ht="91.5" customHeight="1" x14ac:dyDescent="0.25">
      <c r="A19" s="13" t="s">
        <v>17</v>
      </c>
      <c r="B19" s="26" t="s">
        <v>25</v>
      </c>
      <c r="C19" s="15">
        <f>600000+80000</f>
        <v>680000</v>
      </c>
      <c r="D19" s="15">
        <v>195000</v>
      </c>
      <c r="E19" s="15">
        <v>10270.5</v>
      </c>
      <c r="F19" s="17">
        <f t="shared" si="0"/>
        <v>5.2669230769230767E-2</v>
      </c>
      <c r="G19" s="27" t="s">
        <v>26</v>
      </c>
      <c r="H19" s="1" t="s">
        <v>19</v>
      </c>
      <c r="I19" s="120"/>
    </row>
    <row r="20" spans="1:9" ht="15" customHeight="1" x14ac:dyDescent="0.25">
      <c r="A20" s="131" t="s">
        <v>27</v>
      </c>
      <c r="B20" s="131"/>
      <c r="C20" s="22">
        <f>C21+C22</f>
        <v>230000</v>
      </c>
      <c r="D20" s="22">
        <f>D21+D22</f>
        <v>150000</v>
      </c>
      <c r="E20" s="22">
        <f>E21+E22</f>
        <v>45510</v>
      </c>
      <c r="F20" s="11">
        <f t="shared" si="0"/>
        <v>0.3034</v>
      </c>
      <c r="G20" s="28"/>
      <c r="H20" s="28"/>
    </row>
    <row r="21" spans="1:9" ht="197.25" customHeight="1" x14ac:dyDescent="0.25">
      <c r="A21" s="29" t="s">
        <v>232</v>
      </c>
      <c r="B21" s="30" t="s">
        <v>29</v>
      </c>
      <c r="C21" s="31">
        <f>200000</f>
        <v>200000</v>
      </c>
      <c r="D21" s="31">
        <v>120000</v>
      </c>
      <c r="E21" s="32">
        <v>45510</v>
      </c>
      <c r="F21" s="17">
        <f t="shared" si="0"/>
        <v>0.37924999999999998</v>
      </c>
      <c r="G21" s="30" t="s">
        <v>171</v>
      </c>
      <c r="H21" s="33" t="s">
        <v>19</v>
      </c>
    </row>
    <row r="22" spans="1:9" s="36" customFormat="1" ht="55.5" customHeight="1" x14ac:dyDescent="0.25">
      <c r="A22" s="20" t="s">
        <v>233</v>
      </c>
      <c r="B22" s="34" t="s">
        <v>31</v>
      </c>
      <c r="C22" s="15">
        <v>30000</v>
      </c>
      <c r="D22" s="15">
        <v>30000</v>
      </c>
      <c r="E22" s="16">
        <v>0</v>
      </c>
      <c r="F22" s="17">
        <f t="shared" si="0"/>
        <v>0</v>
      </c>
      <c r="G22" s="34" t="s">
        <v>133</v>
      </c>
      <c r="H22" s="1" t="s">
        <v>32</v>
      </c>
      <c r="I22" s="35"/>
    </row>
    <row r="23" spans="1:9" ht="13.9" customHeight="1" x14ac:dyDescent="0.25">
      <c r="A23" s="131" t="s">
        <v>33</v>
      </c>
      <c r="B23" s="131"/>
      <c r="C23" s="22">
        <f>SUM(C24:C55)</f>
        <v>24434386.479999997</v>
      </c>
      <c r="D23" s="22">
        <f>SUM(D24:D55)</f>
        <v>11451781.779999999</v>
      </c>
      <c r="E23" s="22">
        <f>SUM(E24:E55)</f>
        <v>11095752.59</v>
      </c>
      <c r="F23" s="37">
        <f t="shared" si="0"/>
        <v>0.96891058554557963</v>
      </c>
      <c r="G23" s="38"/>
      <c r="H23" s="39"/>
    </row>
    <row r="24" spans="1:9" ht="37.15" customHeight="1" x14ac:dyDescent="0.25">
      <c r="A24" s="132" t="s">
        <v>234</v>
      </c>
      <c r="B24" s="133"/>
      <c r="C24" s="40">
        <v>51930.6</v>
      </c>
      <c r="D24" s="15">
        <v>51930.6</v>
      </c>
      <c r="E24" s="16">
        <v>51930.6</v>
      </c>
      <c r="F24" s="41">
        <f t="shared" si="0"/>
        <v>1</v>
      </c>
      <c r="G24" s="42" t="s">
        <v>154</v>
      </c>
      <c r="H24" s="1" t="s">
        <v>19</v>
      </c>
    </row>
    <row r="25" spans="1:9" ht="37.5" customHeight="1" x14ac:dyDescent="0.25">
      <c r="A25" s="132"/>
      <c r="B25" s="133"/>
      <c r="C25" s="40">
        <f>1300000+400000+2850000+50000</f>
        <v>4600000</v>
      </c>
      <c r="D25" s="15">
        <f>500000+2850000+50000</f>
        <v>3400000</v>
      </c>
      <c r="E25" s="16">
        <v>3395874.23</v>
      </c>
      <c r="F25" s="41">
        <f t="shared" si="0"/>
        <v>0.99878653823529406</v>
      </c>
      <c r="G25" s="42" t="s">
        <v>134</v>
      </c>
      <c r="H25" s="1" t="s">
        <v>19</v>
      </c>
    </row>
    <row r="26" spans="1:9" ht="34.5" customHeight="1" x14ac:dyDescent="0.25">
      <c r="A26" s="132"/>
      <c r="B26" s="133"/>
      <c r="C26" s="40">
        <v>4963017.71</v>
      </c>
      <c r="D26" s="15">
        <f>1488905-220000-1260000</f>
        <v>8905</v>
      </c>
      <c r="E26" s="16">
        <v>1230</v>
      </c>
      <c r="F26" s="41">
        <f t="shared" si="0"/>
        <v>0.13812464907355418</v>
      </c>
      <c r="G26" s="43" t="s">
        <v>135</v>
      </c>
      <c r="H26" s="44" t="s">
        <v>19</v>
      </c>
    </row>
    <row r="27" spans="1:9" ht="34.5" customHeight="1" x14ac:dyDescent="0.25">
      <c r="A27" s="132"/>
      <c r="B27" s="133"/>
      <c r="C27" s="40">
        <f>1005817.99+192398.76+12000+27.01</f>
        <v>1210243.76</v>
      </c>
      <c r="D27" s="15">
        <f>301745+192398.76+12000</f>
        <v>506143.76</v>
      </c>
      <c r="E27" s="16">
        <v>505922.5</v>
      </c>
      <c r="F27" s="41">
        <f t="shared" si="0"/>
        <v>0.99956285147128954</v>
      </c>
      <c r="G27" s="42" t="s">
        <v>136</v>
      </c>
      <c r="H27" s="44" t="s">
        <v>19</v>
      </c>
    </row>
    <row r="28" spans="1:9" ht="30" customHeight="1" x14ac:dyDescent="0.25">
      <c r="A28" s="132"/>
      <c r="B28" s="133"/>
      <c r="C28" s="40">
        <f>8220200-115082.8+1633484.44-1000000-500000-6528.84</f>
        <v>8232072.8000000007</v>
      </c>
      <c r="D28" s="15">
        <f>6581766.65-500000-6528.84</f>
        <v>6075237.8100000005</v>
      </c>
      <c r="E28" s="16">
        <v>6075237.8099999996</v>
      </c>
      <c r="F28" s="41">
        <f t="shared" si="0"/>
        <v>0.99999999999999989</v>
      </c>
      <c r="G28" s="45" t="s">
        <v>137</v>
      </c>
      <c r="H28" s="1" t="s">
        <v>19</v>
      </c>
    </row>
    <row r="29" spans="1:9" ht="24" customHeight="1" x14ac:dyDescent="0.25">
      <c r="A29" s="132"/>
      <c r="B29" s="133"/>
      <c r="C29" s="40">
        <f>500000+150000-58500</f>
        <v>591500</v>
      </c>
      <c r="D29" s="15">
        <v>141500</v>
      </c>
      <c r="E29" s="16">
        <v>141436.57</v>
      </c>
      <c r="F29" s="41">
        <f t="shared" si="0"/>
        <v>0.9995517314487633</v>
      </c>
      <c r="G29" s="24" t="s">
        <v>138</v>
      </c>
      <c r="H29" s="25" t="s">
        <v>19</v>
      </c>
    </row>
    <row r="30" spans="1:9" ht="42.75" customHeight="1" x14ac:dyDescent="0.25">
      <c r="A30" s="132"/>
      <c r="B30" s="133"/>
      <c r="C30" s="40">
        <f>2000000</f>
        <v>2000000</v>
      </c>
      <c r="D30" s="15">
        <v>100000</v>
      </c>
      <c r="E30" s="16">
        <v>0</v>
      </c>
      <c r="F30" s="41">
        <f t="shared" si="0"/>
        <v>0</v>
      </c>
      <c r="G30" s="24" t="s">
        <v>139</v>
      </c>
      <c r="H30" s="25" t="s">
        <v>19</v>
      </c>
    </row>
    <row r="31" spans="1:9" ht="47.25" customHeight="1" x14ac:dyDescent="0.25">
      <c r="A31" s="132"/>
      <c r="B31" s="133"/>
      <c r="C31" s="40">
        <v>1060000</v>
      </c>
      <c r="D31" s="15">
        <v>120000</v>
      </c>
      <c r="E31" s="16">
        <v>120000</v>
      </c>
      <c r="F31" s="41">
        <f t="shared" si="0"/>
        <v>1</v>
      </c>
      <c r="G31" s="24" t="s">
        <v>140</v>
      </c>
      <c r="H31" s="25" t="s">
        <v>19</v>
      </c>
      <c r="I31" s="46"/>
    </row>
    <row r="32" spans="1:9" ht="34.5" customHeight="1" x14ac:dyDescent="0.25">
      <c r="A32" s="132"/>
      <c r="B32" s="133"/>
      <c r="C32" s="40">
        <f>150000-5229</f>
        <v>144771</v>
      </c>
      <c r="D32" s="15">
        <v>144771</v>
      </c>
      <c r="E32" s="16">
        <v>144771</v>
      </c>
      <c r="F32" s="41">
        <f t="shared" si="0"/>
        <v>1</v>
      </c>
      <c r="G32" s="24" t="s">
        <v>141</v>
      </c>
      <c r="H32" s="25" t="s">
        <v>19</v>
      </c>
    </row>
    <row r="33" spans="1:9" ht="41.25" customHeight="1" x14ac:dyDescent="0.25">
      <c r="A33" s="132"/>
      <c r="B33" s="133"/>
      <c r="C33" s="40">
        <f>80000+68000</f>
        <v>148000</v>
      </c>
      <c r="D33" s="15">
        <v>80000</v>
      </c>
      <c r="E33" s="16">
        <v>80000</v>
      </c>
      <c r="F33" s="41">
        <f t="shared" si="0"/>
        <v>1</v>
      </c>
      <c r="G33" s="24" t="s">
        <v>142</v>
      </c>
      <c r="H33" s="25" t="s">
        <v>19</v>
      </c>
    </row>
    <row r="34" spans="1:9" ht="39.75" customHeight="1" x14ac:dyDescent="0.25">
      <c r="A34" s="132"/>
      <c r="B34" s="133"/>
      <c r="C34" s="40">
        <v>121000</v>
      </c>
      <c r="D34" s="15">
        <v>50000</v>
      </c>
      <c r="E34" s="16">
        <v>50000</v>
      </c>
      <c r="F34" s="41">
        <f t="shared" si="0"/>
        <v>1</v>
      </c>
      <c r="G34" s="24" t="s">
        <v>143</v>
      </c>
      <c r="H34" s="25" t="s">
        <v>19</v>
      </c>
      <c r="I34" s="47"/>
    </row>
    <row r="35" spans="1:9" ht="34.5" customHeight="1" x14ac:dyDescent="0.25">
      <c r="A35" s="132"/>
      <c r="B35" s="133"/>
      <c r="C35" s="40">
        <v>88000</v>
      </c>
      <c r="D35" s="15">
        <v>70000</v>
      </c>
      <c r="E35" s="16">
        <v>70000</v>
      </c>
      <c r="F35" s="41">
        <f t="shared" si="0"/>
        <v>1</v>
      </c>
      <c r="G35" s="24" t="s">
        <v>144</v>
      </c>
      <c r="H35" s="25" t="s">
        <v>19</v>
      </c>
    </row>
    <row r="36" spans="1:9" ht="36" customHeight="1" x14ac:dyDescent="0.25">
      <c r="A36" s="132"/>
      <c r="B36" s="133"/>
      <c r="C36" s="40">
        <v>87000</v>
      </c>
      <c r="D36" s="15">
        <v>50000</v>
      </c>
      <c r="E36" s="16">
        <v>50000</v>
      </c>
      <c r="F36" s="41">
        <f t="shared" si="0"/>
        <v>1</v>
      </c>
      <c r="G36" s="24" t="s">
        <v>145</v>
      </c>
      <c r="H36" s="25" t="s">
        <v>19</v>
      </c>
    </row>
    <row r="37" spans="1:9" ht="35.25" customHeight="1" x14ac:dyDescent="0.25">
      <c r="A37" s="132"/>
      <c r="B37" s="133"/>
      <c r="C37" s="40">
        <f>160000</f>
        <v>160000</v>
      </c>
      <c r="D37" s="15">
        <v>96000</v>
      </c>
      <c r="E37" s="16">
        <v>96000</v>
      </c>
      <c r="F37" s="41">
        <f t="shared" si="0"/>
        <v>1</v>
      </c>
      <c r="G37" s="24" t="s">
        <v>146</v>
      </c>
      <c r="H37" s="25" t="s">
        <v>19</v>
      </c>
    </row>
    <row r="38" spans="1:9" ht="40.5" customHeight="1" x14ac:dyDescent="0.25">
      <c r="A38" s="132"/>
      <c r="B38" s="133"/>
      <c r="C38" s="40">
        <f>20000</f>
        <v>20000</v>
      </c>
      <c r="D38" s="15">
        <v>20000</v>
      </c>
      <c r="E38" s="16">
        <v>0</v>
      </c>
      <c r="F38" s="41">
        <f t="shared" si="0"/>
        <v>0</v>
      </c>
      <c r="G38" s="24" t="s">
        <v>148</v>
      </c>
      <c r="H38" s="25" t="s">
        <v>32</v>
      </c>
    </row>
    <row r="39" spans="1:9" ht="30" customHeight="1" x14ac:dyDescent="0.25">
      <c r="A39" s="132"/>
      <c r="B39" s="133"/>
      <c r="C39" s="40">
        <f>300000-220000</f>
        <v>80000</v>
      </c>
      <c r="D39" s="15">
        <v>80000</v>
      </c>
      <c r="E39" s="16">
        <v>70458.080000000002</v>
      </c>
      <c r="F39" s="41">
        <f t="shared" si="0"/>
        <v>0.88072600000000001</v>
      </c>
      <c r="G39" s="24" t="s">
        <v>147</v>
      </c>
      <c r="H39" s="25" t="s">
        <v>32</v>
      </c>
    </row>
    <row r="40" spans="1:9" ht="30.75" customHeight="1" x14ac:dyDescent="0.25">
      <c r="A40" s="132"/>
      <c r="B40" s="133"/>
      <c r="C40" s="40">
        <v>5000</v>
      </c>
      <c r="D40" s="15">
        <v>5000</v>
      </c>
      <c r="E40" s="48">
        <v>0</v>
      </c>
      <c r="F40" s="41">
        <f t="shared" si="0"/>
        <v>0</v>
      </c>
      <c r="G40" s="24" t="s">
        <v>149</v>
      </c>
      <c r="H40" s="25" t="s">
        <v>32</v>
      </c>
    </row>
    <row r="41" spans="1:9" ht="37.5" customHeight="1" x14ac:dyDescent="0.25">
      <c r="A41" s="132"/>
      <c r="B41" s="133"/>
      <c r="C41" s="40">
        <v>10000</v>
      </c>
      <c r="D41" s="15">
        <v>10000</v>
      </c>
      <c r="E41" s="16">
        <v>9840</v>
      </c>
      <c r="F41" s="41">
        <f t="shared" si="0"/>
        <v>0.98399999999999999</v>
      </c>
      <c r="G41" s="24" t="s">
        <v>150</v>
      </c>
      <c r="H41" s="25" t="s">
        <v>32</v>
      </c>
    </row>
    <row r="42" spans="1:9" ht="43.5" customHeight="1" x14ac:dyDescent="0.25">
      <c r="A42" s="132"/>
      <c r="B42" s="133"/>
      <c r="C42" s="40">
        <v>35000</v>
      </c>
      <c r="D42" s="15">
        <f>20000+15000</f>
        <v>35000</v>
      </c>
      <c r="E42" s="16">
        <v>33825</v>
      </c>
      <c r="F42" s="41">
        <f t="shared" si="0"/>
        <v>0.96642857142857141</v>
      </c>
      <c r="G42" s="24" t="s">
        <v>151</v>
      </c>
      <c r="H42" s="25" t="s">
        <v>32</v>
      </c>
    </row>
    <row r="43" spans="1:9" ht="32.25" customHeight="1" x14ac:dyDescent="0.25">
      <c r="A43" s="132"/>
      <c r="B43" s="133"/>
      <c r="C43" s="40">
        <f>10000+22834.85</f>
        <v>32834.85</v>
      </c>
      <c r="D43" s="15">
        <v>32834.85</v>
      </c>
      <c r="E43" s="16">
        <v>32834.85</v>
      </c>
      <c r="F43" s="41">
        <f t="shared" si="0"/>
        <v>1</v>
      </c>
      <c r="G43" s="24" t="s">
        <v>152</v>
      </c>
      <c r="H43" s="25" t="s">
        <v>32</v>
      </c>
    </row>
    <row r="44" spans="1:9" ht="32.25" customHeight="1" x14ac:dyDescent="0.25">
      <c r="A44" s="132"/>
      <c r="B44" s="133"/>
      <c r="C44" s="40">
        <v>100000</v>
      </c>
      <c r="D44" s="15">
        <v>100000</v>
      </c>
      <c r="E44" s="16">
        <v>0</v>
      </c>
      <c r="F44" s="41">
        <f t="shared" si="0"/>
        <v>0</v>
      </c>
      <c r="G44" s="24" t="s">
        <v>155</v>
      </c>
      <c r="H44" s="25" t="s">
        <v>32</v>
      </c>
    </row>
    <row r="45" spans="1:9" ht="31.9" customHeight="1" x14ac:dyDescent="0.25">
      <c r="A45" s="132"/>
      <c r="B45" s="133"/>
      <c r="C45" s="40">
        <v>50000</v>
      </c>
      <c r="D45" s="15">
        <v>50000</v>
      </c>
      <c r="E45" s="16">
        <v>22792.69</v>
      </c>
      <c r="F45" s="41">
        <f t="shared" si="0"/>
        <v>0.45585379999999998</v>
      </c>
      <c r="G45" s="24" t="s">
        <v>153</v>
      </c>
      <c r="H45" s="25" t="s">
        <v>32</v>
      </c>
    </row>
    <row r="46" spans="1:9" ht="45.75" customHeight="1" x14ac:dyDescent="0.25">
      <c r="A46" s="132"/>
      <c r="B46" s="133"/>
      <c r="C46" s="40">
        <v>80000</v>
      </c>
      <c r="D46" s="15">
        <v>80000</v>
      </c>
      <c r="E46" s="16">
        <v>0</v>
      </c>
      <c r="F46" s="41">
        <f t="shared" si="0"/>
        <v>0</v>
      </c>
      <c r="G46" s="49" t="s">
        <v>156</v>
      </c>
      <c r="H46" s="25" t="s">
        <v>32</v>
      </c>
    </row>
    <row r="47" spans="1:9" ht="33.75" customHeight="1" x14ac:dyDescent="0.25">
      <c r="A47" s="132"/>
      <c r="B47" s="133"/>
      <c r="C47" s="40">
        <v>432595</v>
      </c>
      <c r="D47" s="15">
        <v>32595</v>
      </c>
      <c r="E47" s="16">
        <v>32595</v>
      </c>
      <c r="F47" s="41">
        <f t="shared" si="0"/>
        <v>1</v>
      </c>
      <c r="G47" s="42" t="s">
        <v>157</v>
      </c>
      <c r="H47" s="25" t="s">
        <v>32</v>
      </c>
    </row>
    <row r="48" spans="1:9" ht="32.450000000000003" customHeight="1" x14ac:dyDescent="0.25">
      <c r="A48" s="132"/>
      <c r="B48" s="133"/>
      <c r="C48" s="40">
        <v>32595</v>
      </c>
      <c r="D48" s="15">
        <v>13038</v>
      </c>
      <c r="E48" s="16">
        <v>13038</v>
      </c>
      <c r="F48" s="41">
        <f t="shared" si="0"/>
        <v>1</v>
      </c>
      <c r="G48" s="42" t="s">
        <v>158</v>
      </c>
      <c r="H48" s="25" t="s">
        <v>32</v>
      </c>
    </row>
    <row r="49" spans="1:9" ht="13.5" customHeight="1" x14ac:dyDescent="0.25">
      <c r="A49" s="132"/>
      <c r="B49" s="133"/>
      <c r="C49" s="134"/>
      <c r="D49" s="134"/>
      <c r="E49" s="134"/>
      <c r="F49" s="134"/>
      <c r="G49" s="134"/>
      <c r="H49" s="134"/>
    </row>
    <row r="50" spans="1:9" ht="32.25" customHeight="1" x14ac:dyDescent="0.25">
      <c r="A50" s="132"/>
      <c r="B50" s="133"/>
      <c r="C50" s="50">
        <v>33897.620000000003</v>
      </c>
      <c r="D50" s="51">
        <v>33897.620000000003</v>
      </c>
      <c r="E50" s="16">
        <v>33897.620000000003</v>
      </c>
      <c r="F50" s="41">
        <f>E50/D50</f>
        <v>1</v>
      </c>
      <c r="G50" s="24" t="s">
        <v>159</v>
      </c>
      <c r="H50" s="25" t="s">
        <v>32</v>
      </c>
    </row>
    <row r="51" spans="1:9" ht="27" customHeight="1" x14ac:dyDescent="0.25">
      <c r="A51" s="132"/>
      <c r="B51" s="133"/>
      <c r="C51" s="50">
        <v>21414.36</v>
      </c>
      <c r="D51" s="51">
        <v>21414.36</v>
      </c>
      <c r="E51" s="16">
        <v>21414.36</v>
      </c>
      <c r="F51" s="41">
        <f>E51/D51</f>
        <v>1</v>
      </c>
      <c r="G51" s="24" t="s">
        <v>160</v>
      </c>
      <c r="H51" s="25" t="s">
        <v>32</v>
      </c>
    </row>
    <row r="52" spans="1:9" ht="17.25" customHeight="1" x14ac:dyDescent="0.25">
      <c r="A52" s="132"/>
      <c r="B52" s="133"/>
      <c r="C52" s="134" t="s">
        <v>34</v>
      </c>
      <c r="D52" s="134"/>
      <c r="E52" s="134"/>
      <c r="F52" s="134"/>
      <c r="G52" s="134"/>
      <c r="H52" s="134"/>
    </row>
    <row r="53" spans="1:9" ht="32.25" customHeight="1" x14ac:dyDescent="0.25">
      <c r="A53" s="132"/>
      <c r="B53" s="133"/>
      <c r="C53" s="50">
        <v>16948.810000000001</v>
      </c>
      <c r="D53" s="51">
        <v>16948.810000000001</v>
      </c>
      <c r="E53" s="16">
        <v>16948.810000000001</v>
      </c>
      <c r="F53" s="41">
        <f t="shared" ref="F53:F59" si="1">E53/D53</f>
        <v>1</v>
      </c>
      <c r="G53" s="24" t="s">
        <v>161</v>
      </c>
      <c r="H53" s="25" t="s">
        <v>19</v>
      </c>
    </row>
    <row r="54" spans="1:9" ht="30.75" customHeight="1" x14ac:dyDescent="0.25">
      <c r="A54" s="132"/>
      <c r="B54" s="133"/>
      <c r="C54" s="50">
        <v>10707.18</v>
      </c>
      <c r="D54" s="51">
        <v>10707.18</v>
      </c>
      <c r="E54" s="16">
        <v>10705.47</v>
      </c>
      <c r="F54" s="41">
        <f t="shared" si="1"/>
        <v>0.99984029408303576</v>
      </c>
      <c r="G54" s="24" t="s">
        <v>162</v>
      </c>
      <c r="H54" s="25" t="s">
        <v>19</v>
      </c>
    </row>
    <row r="55" spans="1:9" ht="37.5" customHeight="1" x14ac:dyDescent="0.25">
      <c r="A55" s="132"/>
      <c r="B55" s="133"/>
      <c r="C55" s="40">
        <v>15857.79</v>
      </c>
      <c r="D55" s="15">
        <v>15857.79</v>
      </c>
      <c r="E55" s="16">
        <v>15000</v>
      </c>
      <c r="F55" s="41">
        <f t="shared" si="1"/>
        <v>0.94590734270033838</v>
      </c>
      <c r="G55" s="43" t="s">
        <v>164</v>
      </c>
      <c r="H55" s="25" t="s">
        <v>19</v>
      </c>
    </row>
    <row r="56" spans="1:9" ht="17.25" customHeight="1" x14ac:dyDescent="0.25">
      <c r="A56" s="131" t="s">
        <v>33</v>
      </c>
      <c r="B56" s="131"/>
      <c r="C56" s="52">
        <f>C57</f>
        <v>14758293.560000001</v>
      </c>
      <c r="D56" s="52">
        <f>D57</f>
        <v>20000</v>
      </c>
      <c r="E56" s="52">
        <f>E57</f>
        <v>12054</v>
      </c>
      <c r="F56" s="53">
        <f t="shared" si="1"/>
        <v>0.60270000000000001</v>
      </c>
      <c r="G56" s="28"/>
      <c r="H56" s="12"/>
    </row>
    <row r="57" spans="1:9" s="56" customFormat="1" ht="50.25" customHeight="1" x14ac:dyDescent="0.25">
      <c r="A57" s="54" t="s">
        <v>21</v>
      </c>
      <c r="B57" s="49" t="s">
        <v>36</v>
      </c>
      <c r="C57" s="40">
        <f>15706800-10450000+9491493.56+10000</f>
        <v>14758293.560000001</v>
      </c>
      <c r="D57" s="15">
        <v>20000</v>
      </c>
      <c r="E57" s="16">
        <v>12054</v>
      </c>
      <c r="F57" s="41">
        <f t="shared" si="1"/>
        <v>0.60270000000000001</v>
      </c>
      <c r="G57" s="49" t="s">
        <v>174</v>
      </c>
      <c r="H57" s="25" t="s">
        <v>19</v>
      </c>
      <c r="I57" s="55"/>
    </row>
    <row r="58" spans="1:9" ht="20.25" customHeight="1" x14ac:dyDescent="0.25">
      <c r="A58" s="131" t="s">
        <v>37</v>
      </c>
      <c r="B58" s="131"/>
      <c r="C58" s="52">
        <f>C59+C61+C63</f>
        <v>85837</v>
      </c>
      <c r="D58" s="52">
        <f>D59+D61+D63</f>
        <v>85837</v>
      </c>
      <c r="E58" s="52">
        <f>E59+E61+E63</f>
        <v>85806.03</v>
      </c>
      <c r="F58" s="53">
        <f t="shared" si="1"/>
        <v>0.99963919987884009</v>
      </c>
      <c r="G58" s="28"/>
      <c r="H58" s="12"/>
    </row>
    <row r="59" spans="1:9" ht="32.25" customHeight="1" x14ac:dyDescent="0.25">
      <c r="A59" s="2" t="s">
        <v>235</v>
      </c>
      <c r="B59" s="49" t="s">
        <v>39</v>
      </c>
      <c r="C59" s="40">
        <v>55350</v>
      </c>
      <c r="D59" s="15">
        <v>55350</v>
      </c>
      <c r="E59" s="16">
        <v>55350</v>
      </c>
      <c r="F59" s="41">
        <f t="shared" si="1"/>
        <v>1</v>
      </c>
      <c r="G59" s="49" t="s">
        <v>163</v>
      </c>
      <c r="H59" s="25" t="s">
        <v>32</v>
      </c>
    </row>
    <row r="60" spans="1:9" ht="18" customHeight="1" x14ac:dyDescent="0.25">
      <c r="A60" s="135" t="s">
        <v>24</v>
      </c>
      <c r="B60" s="136" t="s">
        <v>41</v>
      </c>
      <c r="C60" s="137" t="s">
        <v>42</v>
      </c>
      <c r="D60" s="137"/>
      <c r="E60" s="137"/>
      <c r="F60" s="137"/>
      <c r="G60" s="137"/>
      <c r="H60" s="137"/>
    </row>
    <row r="61" spans="1:9" ht="32.25" customHeight="1" x14ac:dyDescent="0.25">
      <c r="A61" s="135"/>
      <c r="B61" s="136"/>
      <c r="C61" s="40">
        <v>13000</v>
      </c>
      <c r="D61" s="15">
        <v>13000</v>
      </c>
      <c r="E61" s="16">
        <v>13000</v>
      </c>
      <c r="F61" s="57">
        <f>E61/D61</f>
        <v>1</v>
      </c>
      <c r="G61" s="49" t="s">
        <v>165</v>
      </c>
      <c r="H61" s="25" t="s">
        <v>32</v>
      </c>
    </row>
    <row r="62" spans="1:9" ht="21.75" customHeight="1" x14ac:dyDescent="0.25">
      <c r="A62" s="135"/>
      <c r="B62" s="136"/>
      <c r="C62" s="137" t="s">
        <v>34</v>
      </c>
      <c r="D62" s="137"/>
      <c r="E62" s="137"/>
      <c r="F62" s="137"/>
      <c r="G62" s="137"/>
      <c r="H62" s="137"/>
    </row>
    <row r="63" spans="1:9" ht="32.25" customHeight="1" x14ac:dyDescent="0.25">
      <c r="A63" s="135"/>
      <c r="B63" s="136"/>
      <c r="C63" s="40">
        <v>17487</v>
      </c>
      <c r="D63" s="15">
        <v>17487</v>
      </c>
      <c r="E63" s="16">
        <v>17456.03</v>
      </c>
      <c r="F63" s="57">
        <f t="shared" ref="F63:F75" si="2">E63/D63</f>
        <v>0.99822897009206835</v>
      </c>
      <c r="G63" s="49" t="s">
        <v>166</v>
      </c>
      <c r="H63" s="25" t="s">
        <v>19</v>
      </c>
    </row>
    <row r="64" spans="1:9" ht="12.75" customHeight="1" x14ac:dyDescent="0.25">
      <c r="A64" s="130" t="s">
        <v>43</v>
      </c>
      <c r="B64" s="130"/>
      <c r="C64" s="58">
        <f>C65</f>
        <v>38000</v>
      </c>
      <c r="D64" s="58">
        <f>D65</f>
        <v>38000</v>
      </c>
      <c r="E64" s="58">
        <f>E65</f>
        <v>33000.9</v>
      </c>
      <c r="F64" s="37">
        <f t="shared" si="2"/>
        <v>0.86844473684210532</v>
      </c>
      <c r="G64" s="59"/>
      <c r="H64" s="58"/>
    </row>
    <row r="65" spans="1:8" ht="29.25" customHeight="1" x14ac:dyDescent="0.25">
      <c r="A65" s="60" t="s">
        <v>28</v>
      </c>
      <c r="B65" s="21" t="s">
        <v>45</v>
      </c>
      <c r="C65" s="51">
        <v>38000</v>
      </c>
      <c r="D65" s="15">
        <v>38000</v>
      </c>
      <c r="E65" s="16">
        <v>33000.9</v>
      </c>
      <c r="F65" s="57">
        <f t="shared" si="2"/>
        <v>0.86844473684210532</v>
      </c>
      <c r="G65" s="21" t="s">
        <v>46</v>
      </c>
      <c r="H65" s="25" t="s">
        <v>32</v>
      </c>
    </row>
    <row r="66" spans="1:8" x14ac:dyDescent="0.25">
      <c r="A66" s="129" t="s">
        <v>47</v>
      </c>
      <c r="B66" s="129"/>
      <c r="C66" s="10">
        <f>C67</f>
        <v>21531413</v>
      </c>
      <c r="D66" s="22">
        <f>D67</f>
        <v>700000</v>
      </c>
      <c r="E66" s="22">
        <f>E67</f>
        <v>639786.18000000005</v>
      </c>
      <c r="F66" s="37">
        <f t="shared" si="2"/>
        <v>0.91398025714285724</v>
      </c>
      <c r="G66" s="61"/>
      <c r="H66" s="12"/>
    </row>
    <row r="67" spans="1:8" ht="63" customHeight="1" x14ac:dyDescent="0.25">
      <c r="A67" s="23" t="s">
        <v>30</v>
      </c>
      <c r="B67" s="21" t="s">
        <v>49</v>
      </c>
      <c r="C67" s="51">
        <f>18524000-50000+2542413+315000+490000-290000</f>
        <v>21531413</v>
      </c>
      <c r="D67" s="62">
        <v>700000</v>
      </c>
      <c r="E67" s="16">
        <v>639786.18000000005</v>
      </c>
      <c r="F67" s="57">
        <f t="shared" si="2"/>
        <v>0.91398025714285724</v>
      </c>
      <c r="G67" s="45" t="s">
        <v>168</v>
      </c>
      <c r="H67" s="25" t="s">
        <v>19</v>
      </c>
    </row>
    <row r="68" spans="1:8" ht="21" customHeight="1" x14ac:dyDescent="0.25">
      <c r="A68" s="129" t="s">
        <v>50</v>
      </c>
      <c r="B68" s="129"/>
      <c r="C68" s="10">
        <f>C69</f>
        <v>2461659.7599999998</v>
      </c>
      <c r="D68" s="10">
        <f>D69</f>
        <v>66564.759999999995</v>
      </c>
      <c r="E68" s="10">
        <f>E69</f>
        <v>60744.78</v>
      </c>
      <c r="F68" s="37">
        <f t="shared" si="2"/>
        <v>0.91256664938024268</v>
      </c>
      <c r="G68" s="63"/>
      <c r="H68" s="12"/>
    </row>
    <row r="69" spans="1:8" ht="51" customHeight="1" x14ac:dyDescent="0.25">
      <c r="A69" s="60" t="s">
        <v>236</v>
      </c>
      <c r="B69" s="21" t="s">
        <v>52</v>
      </c>
      <c r="C69" s="51">
        <v>2461659.7599999998</v>
      </c>
      <c r="D69" s="15">
        <v>66564.759999999995</v>
      </c>
      <c r="E69" s="16">
        <v>60744.78</v>
      </c>
      <c r="F69" s="57">
        <f t="shared" si="2"/>
        <v>0.91256664938024268</v>
      </c>
      <c r="G69" s="119" t="s">
        <v>169</v>
      </c>
      <c r="H69" s="25" t="s">
        <v>19</v>
      </c>
    </row>
    <row r="70" spans="1:8" ht="24" customHeight="1" x14ac:dyDescent="0.25">
      <c r="A70" s="138" t="s">
        <v>53</v>
      </c>
      <c r="B70" s="138"/>
      <c r="C70" s="10">
        <f>C71</f>
        <v>700000</v>
      </c>
      <c r="D70" s="10">
        <f>D71</f>
        <v>700000</v>
      </c>
      <c r="E70" s="10">
        <f>E71</f>
        <v>700000</v>
      </c>
      <c r="F70" s="37">
        <f t="shared" si="2"/>
        <v>1</v>
      </c>
      <c r="G70" s="63"/>
      <c r="H70" s="63"/>
    </row>
    <row r="71" spans="1:8" ht="71.25" customHeight="1" x14ac:dyDescent="0.25">
      <c r="A71" s="60" t="s">
        <v>35</v>
      </c>
      <c r="B71" s="21" t="s">
        <v>55</v>
      </c>
      <c r="C71" s="51">
        <f>350000+150000+200000</f>
        <v>700000</v>
      </c>
      <c r="D71" s="15">
        <v>700000</v>
      </c>
      <c r="E71" s="16">
        <v>700000</v>
      </c>
      <c r="F71" s="57">
        <f t="shared" si="2"/>
        <v>1</v>
      </c>
      <c r="G71" s="121" t="s">
        <v>229</v>
      </c>
      <c r="H71" s="25" t="s">
        <v>32</v>
      </c>
    </row>
    <row r="72" spans="1:8" ht="24" customHeight="1" x14ac:dyDescent="0.25">
      <c r="A72" s="138" t="s">
        <v>56</v>
      </c>
      <c r="B72" s="138"/>
      <c r="C72" s="10">
        <f>C73</f>
        <v>10000</v>
      </c>
      <c r="D72" s="10">
        <f>D73</f>
        <v>10000</v>
      </c>
      <c r="E72" s="10">
        <f>E73</f>
        <v>0</v>
      </c>
      <c r="F72" s="37">
        <f t="shared" si="2"/>
        <v>0</v>
      </c>
      <c r="G72" s="63"/>
      <c r="H72" s="63"/>
    </row>
    <row r="73" spans="1:8" ht="25.5" customHeight="1" x14ac:dyDescent="0.25">
      <c r="A73" s="60" t="s">
        <v>38</v>
      </c>
      <c r="B73" s="21" t="s">
        <v>58</v>
      </c>
      <c r="C73" s="51">
        <v>10000</v>
      </c>
      <c r="D73" s="15">
        <v>10000</v>
      </c>
      <c r="E73" s="16">
        <v>0</v>
      </c>
      <c r="F73" s="57">
        <f t="shared" si="2"/>
        <v>0</v>
      </c>
      <c r="G73" s="21" t="s">
        <v>175</v>
      </c>
      <c r="H73" s="25" t="s">
        <v>32</v>
      </c>
    </row>
    <row r="74" spans="1:8" x14ac:dyDescent="0.25">
      <c r="A74" s="129" t="s">
        <v>59</v>
      </c>
      <c r="B74" s="129"/>
      <c r="C74" s="10">
        <f>SUM(C75:C78)</f>
        <v>31771</v>
      </c>
      <c r="D74" s="10">
        <f>SUM(D75:D78)</f>
        <v>31771</v>
      </c>
      <c r="E74" s="10">
        <f>SUM(E75:E78)</f>
        <v>31611</v>
      </c>
      <c r="F74" s="37">
        <f t="shared" si="2"/>
        <v>0.99496396084479555</v>
      </c>
      <c r="G74" s="63"/>
      <c r="H74" s="12"/>
    </row>
    <row r="75" spans="1:8" ht="39" customHeight="1" x14ac:dyDescent="0.25">
      <c r="A75" s="64" t="s">
        <v>40</v>
      </c>
      <c r="B75" s="21" t="s">
        <v>61</v>
      </c>
      <c r="C75" s="65">
        <v>4310</v>
      </c>
      <c r="D75" s="65">
        <v>4310</v>
      </c>
      <c r="E75" s="65">
        <v>4310</v>
      </c>
      <c r="F75" s="57">
        <f t="shared" si="2"/>
        <v>1</v>
      </c>
      <c r="G75" s="45" t="s">
        <v>46</v>
      </c>
      <c r="H75" s="25" t="s">
        <v>32</v>
      </c>
    </row>
    <row r="76" spans="1:8" ht="13.9" customHeight="1" x14ac:dyDescent="0.25">
      <c r="A76" s="139" t="s">
        <v>237</v>
      </c>
      <c r="B76" s="140" t="s">
        <v>63</v>
      </c>
      <c r="C76" s="141" t="s">
        <v>64</v>
      </c>
      <c r="D76" s="141"/>
      <c r="E76" s="141"/>
      <c r="F76" s="141"/>
      <c r="G76" s="141"/>
      <c r="H76" s="141"/>
    </row>
    <row r="77" spans="1:8" ht="28.5" x14ac:dyDescent="0.25">
      <c r="A77" s="139"/>
      <c r="B77" s="140"/>
      <c r="C77" s="51">
        <v>10000</v>
      </c>
      <c r="D77" s="51">
        <v>10000</v>
      </c>
      <c r="E77" s="51">
        <v>9840</v>
      </c>
      <c r="F77" s="17">
        <f t="shared" ref="F77:F108" si="3">E77/D77</f>
        <v>0.98399999999999999</v>
      </c>
      <c r="G77" s="45" t="s">
        <v>178</v>
      </c>
      <c r="H77" s="67" t="s">
        <v>32</v>
      </c>
    </row>
    <row r="78" spans="1:8" ht="21" customHeight="1" x14ac:dyDescent="0.25">
      <c r="A78" s="139"/>
      <c r="B78" s="140"/>
      <c r="C78" s="51">
        <f>18000-539</f>
        <v>17461</v>
      </c>
      <c r="D78" s="51">
        <v>17461</v>
      </c>
      <c r="E78" s="51">
        <v>17461</v>
      </c>
      <c r="F78" s="17">
        <f t="shared" si="3"/>
        <v>1</v>
      </c>
      <c r="G78" s="45" t="s">
        <v>179</v>
      </c>
      <c r="H78" s="67" t="s">
        <v>32</v>
      </c>
    </row>
    <row r="79" spans="1:8" x14ac:dyDescent="0.25">
      <c r="A79" s="129" t="s">
        <v>65</v>
      </c>
      <c r="B79" s="129"/>
      <c r="C79" s="10">
        <f>SUM(C80:C85)</f>
        <v>16901740.200000003</v>
      </c>
      <c r="D79" s="10">
        <f>SUM(D80:D85)</f>
        <v>4680740.2</v>
      </c>
      <c r="E79" s="10">
        <f>SUM(E80:E85)</f>
        <v>4566327.01</v>
      </c>
      <c r="F79" s="11">
        <f t="shared" si="3"/>
        <v>0.9755566032056211</v>
      </c>
      <c r="G79" s="63"/>
      <c r="H79" s="12"/>
    </row>
    <row r="80" spans="1:8" ht="21" customHeight="1" x14ac:dyDescent="0.25">
      <c r="A80" s="23" t="s">
        <v>44</v>
      </c>
      <c r="B80" s="42" t="s">
        <v>67</v>
      </c>
      <c r="C80" s="68">
        <f>7000000+230000+30000-14688.84-16592.52</f>
        <v>7228718.6400000006</v>
      </c>
      <c r="D80" s="15">
        <f>3500000+230000+30000-14688.84-16592.52</f>
        <v>3728718.64</v>
      </c>
      <c r="E80" s="16">
        <v>3728718.64</v>
      </c>
      <c r="F80" s="17">
        <f t="shared" si="3"/>
        <v>1</v>
      </c>
      <c r="G80" s="69" t="s">
        <v>46</v>
      </c>
      <c r="H80" s="25" t="s">
        <v>19</v>
      </c>
    </row>
    <row r="81" spans="1:8" ht="34.5" customHeight="1" x14ac:dyDescent="0.25">
      <c r="A81" s="23" t="s">
        <v>48</v>
      </c>
      <c r="B81" s="42" t="s">
        <v>68</v>
      </c>
      <c r="C81" s="68">
        <v>7000000</v>
      </c>
      <c r="D81" s="15">
        <v>79000</v>
      </c>
      <c r="E81" s="16">
        <v>79000</v>
      </c>
      <c r="F81" s="17">
        <f t="shared" si="3"/>
        <v>1</v>
      </c>
      <c r="G81" s="69" t="s">
        <v>176</v>
      </c>
      <c r="H81" s="25" t="s">
        <v>19</v>
      </c>
    </row>
    <row r="82" spans="1:8" ht="40.5" customHeight="1" x14ac:dyDescent="0.25">
      <c r="A82" s="23" t="s">
        <v>238</v>
      </c>
      <c r="B82" s="42" t="s">
        <v>70</v>
      </c>
      <c r="C82" s="70">
        <f>1835000-3957.77</f>
        <v>1831042.23</v>
      </c>
      <c r="D82" s="15">
        <f>35000-3957.77</f>
        <v>31042.23</v>
      </c>
      <c r="E82" s="16">
        <v>31042.23</v>
      </c>
      <c r="F82" s="17">
        <f t="shared" si="3"/>
        <v>1</v>
      </c>
      <c r="G82" s="69" t="s">
        <v>71</v>
      </c>
      <c r="H82" s="25" t="s">
        <v>32</v>
      </c>
    </row>
    <row r="83" spans="1:8" ht="31.5" customHeight="1" x14ac:dyDescent="0.25">
      <c r="A83" s="71" t="s">
        <v>51</v>
      </c>
      <c r="B83" s="21" t="s">
        <v>73</v>
      </c>
      <c r="C83" s="70">
        <f>500000+211979.33</f>
        <v>711979.33</v>
      </c>
      <c r="D83" s="15">
        <f>500000+211979.33</f>
        <v>711979.33</v>
      </c>
      <c r="E83" s="16">
        <v>700492</v>
      </c>
      <c r="F83" s="17">
        <f t="shared" si="3"/>
        <v>0.98386564115562181</v>
      </c>
      <c r="G83" s="21" t="s">
        <v>74</v>
      </c>
      <c r="H83" s="25" t="s">
        <v>32</v>
      </c>
    </row>
    <row r="84" spans="1:8" ht="31.5" customHeight="1" x14ac:dyDescent="0.25">
      <c r="A84" s="71" t="s">
        <v>54</v>
      </c>
      <c r="B84" s="42" t="s">
        <v>76</v>
      </c>
      <c r="C84" s="70">
        <v>30000</v>
      </c>
      <c r="D84" s="15">
        <v>30000</v>
      </c>
      <c r="E84" s="16">
        <v>27074.14</v>
      </c>
      <c r="F84" s="17">
        <f t="shared" si="3"/>
        <v>0.90247133333333329</v>
      </c>
      <c r="G84" s="21" t="s">
        <v>77</v>
      </c>
      <c r="H84" s="25" t="s">
        <v>32</v>
      </c>
    </row>
    <row r="85" spans="1:8" ht="30" customHeight="1" x14ac:dyDescent="0.25">
      <c r="A85" s="71" t="s">
        <v>57</v>
      </c>
      <c r="B85" s="21" t="s">
        <v>79</v>
      </c>
      <c r="C85" s="70">
        <v>100000</v>
      </c>
      <c r="D85" s="15">
        <v>100000</v>
      </c>
      <c r="E85" s="48">
        <v>0</v>
      </c>
      <c r="F85" s="17">
        <f t="shared" si="3"/>
        <v>0</v>
      </c>
      <c r="G85" s="21" t="s">
        <v>80</v>
      </c>
      <c r="H85" s="25" t="s">
        <v>32</v>
      </c>
    </row>
    <row r="86" spans="1:8" ht="19.5" customHeight="1" x14ac:dyDescent="0.25">
      <c r="A86" s="129" t="s">
        <v>81</v>
      </c>
      <c r="B86" s="129"/>
      <c r="C86" s="72">
        <f>SUM(C87:C88)</f>
        <v>344809.65</v>
      </c>
      <c r="D86" s="72">
        <f>SUM(D87:D88)</f>
        <v>344809.65</v>
      </c>
      <c r="E86" s="72">
        <f>SUM(E87:E88)</f>
        <v>344809.65</v>
      </c>
      <c r="F86" s="11">
        <f t="shared" si="3"/>
        <v>1</v>
      </c>
      <c r="G86" s="73"/>
      <c r="H86" s="12"/>
    </row>
    <row r="87" spans="1:8" ht="30" customHeight="1" x14ac:dyDescent="0.25">
      <c r="A87" s="71" t="s">
        <v>60</v>
      </c>
      <c r="B87" s="21" t="s">
        <v>83</v>
      </c>
      <c r="C87" s="70">
        <f>550000-130000+160000-254000</f>
        <v>326000</v>
      </c>
      <c r="D87" s="15">
        <f>580000-254000</f>
        <v>326000</v>
      </c>
      <c r="E87" s="16">
        <v>326000</v>
      </c>
      <c r="F87" s="17">
        <f t="shared" si="3"/>
        <v>1</v>
      </c>
      <c r="G87" s="122" t="s">
        <v>225</v>
      </c>
      <c r="H87" s="25" t="s">
        <v>32</v>
      </c>
    </row>
    <row r="88" spans="1:8" ht="27" customHeight="1" x14ac:dyDescent="0.25">
      <c r="A88" s="71" t="s">
        <v>62</v>
      </c>
      <c r="B88" s="42" t="s">
        <v>85</v>
      </c>
      <c r="C88" s="70">
        <f>20000-1190.35</f>
        <v>18809.650000000001</v>
      </c>
      <c r="D88" s="15">
        <v>18809.650000000001</v>
      </c>
      <c r="E88" s="123">
        <v>18809.650000000001</v>
      </c>
      <c r="F88" s="17">
        <f t="shared" si="3"/>
        <v>1</v>
      </c>
      <c r="G88" s="119" t="s">
        <v>71</v>
      </c>
      <c r="H88" s="25" t="s">
        <v>32</v>
      </c>
    </row>
    <row r="89" spans="1:8" x14ac:dyDescent="0.25">
      <c r="A89" s="142" t="s">
        <v>86</v>
      </c>
      <c r="B89" s="142"/>
      <c r="C89" s="72">
        <f>C90</f>
        <v>20000</v>
      </c>
      <c r="D89" s="72">
        <f>D90</f>
        <v>20000</v>
      </c>
      <c r="E89" s="72">
        <f>E90</f>
        <v>20000</v>
      </c>
      <c r="F89" s="11">
        <f t="shared" si="3"/>
        <v>1</v>
      </c>
      <c r="G89" s="73"/>
      <c r="H89" s="12"/>
    </row>
    <row r="90" spans="1:8" ht="52.5" customHeight="1" x14ac:dyDescent="0.25">
      <c r="A90" s="75" t="s">
        <v>239</v>
      </c>
      <c r="B90" s="76" t="s">
        <v>88</v>
      </c>
      <c r="C90" s="77">
        <v>20000</v>
      </c>
      <c r="D90" s="78">
        <v>20000</v>
      </c>
      <c r="E90" s="48">
        <v>20000</v>
      </c>
      <c r="F90" s="17">
        <f t="shared" si="3"/>
        <v>1</v>
      </c>
      <c r="G90" s="79" t="s">
        <v>173</v>
      </c>
      <c r="H90" s="67" t="s">
        <v>32</v>
      </c>
    </row>
    <row r="91" spans="1:8" ht="24" customHeight="1" x14ac:dyDescent="0.25">
      <c r="A91" s="142" t="s">
        <v>89</v>
      </c>
      <c r="B91" s="142"/>
      <c r="C91" s="72">
        <f>C92</f>
        <v>4470000</v>
      </c>
      <c r="D91" s="72">
        <f>D92</f>
        <v>689527.49</v>
      </c>
      <c r="E91" s="72">
        <f>E92</f>
        <v>688072.01</v>
      </c>
      <c r="F91" s="11">
        <f t="shared" si="3"/>
        <v>0.9978891632007304</v>
      </c>
      <c r="G91" s="73"/>
      <c r="H91" s="12"/>
    </row>
    <row r="92" spans="1:8" ht="51.75" customHeight="1" x14ac:dyDescent="0.25">
      <c r="A92" s="71" t="s">
        <v>66</v>
      </c>
      <c r="B92" s="42" t="s">
        <v>91</v>
      </c>
      <c r="C92" s="70">
        <v>4470000</v>
      </c>
      <c r="D92" s="78">
        <v>689527.49</v>
      </c>
      <c r="E92" s="16">
        <v>688072.01</v>
      </c>
      <c r="F92" s="17">
        <f t="shared" si="3"/>
        <v>0.9978891632007304</v>
      </c>
      <c r="G92" s="74" t="s">
        <v>226</v>
      </c>
      <c r="H92" s="25" t="s">
        <v>32</v>
      </c>
    </row>
    <row r="93" spans="1:8" ht="18" customHeight="1" x14ac:dyDescent="0.25">
      <c r="A93" s="143" t="s">
        <v>92</v>
      </c>
      <c r="B93" s="143"/>
      <c r="C93" s="58">
        <f>C94</f>
        <v>12874328</v>
      </c>
      <c r="D93" s="58">
        <f>D94</f>
        <v>78597</v>
      </c>
      <c r="E93" s="58">
        <f>E94</f>
        <v>78597</v>
      </c>
      <c r="F93" s="11">
        <f t="shared" si="3"/>
        <v>1</v>
      </c>
      <c r="G93" s="59"/>
      <c r="H93" s="80" t="str">
        <f>H94</f>
        <v>x</v>
      </c>
    </row>
    <row r="94" spans="1:8" ht="49.5" customHeight="1" x14ac:dyDescent="0.25">
      <c r="A94" s="71" t="s">
        <v>240</v>
      </c>
      <c r="B94" s="74" t="s">
        <v>94</v>
      </c>
      <c r="C94" s="51">
        <f>12864328+10000</f>
        <v>12874328</v>
      </c>
      <c r="D94" s="15">
        <v>78597</v>
      </c>
      <c r="E94" s="16">
        <v>78597</v>
      </c>
      <c r="F94" s="17">
        <f t="shared" si="3"/>
        <v>1</v>
      </c>
      <c r="G94" s="18" t="s">
        <v>177</v>
      </c>
      <c r="H94" s="25" t="s">
        <v>32</v>
      </c>
    </row>
    <row r="95" spans="1:8" ht="21.75" customHeight="1" x14ac:dyDescent="0.25">
      <c r="A95" s="131" t="s">
        <v>95</v>
      </c>
      <c r="B95" s="131"/>
      <c r="C95" s="72">
        <f>C96</f>
        <v>14499</v>
      </c>
      <c r="D95" s="72">
        <f>D96</f>
        <v>14499</v>
      </c>
      <c r="E95" s="72">
        <f>E96</f>
        <v>14498.01</v>
      </c>
      <c r="F95" s="11">
        <f t="shared" si="3"/>
        <v>0.99993171942892611</v>
      </c>
      <c r="G95" s="73"/>
      <c r="H95" s="73"/>
    </row>
    <row r="96" spans="1:8" ht="36" customHeight="1" x14ac:dyDescent="0.25">
      <c r="A96" s="71" t="s">
        <v>69</v>
      </c>
      <c r="B96" s="21" t="s">
        <v>97</v>
      </c>
      <c r="C96" s="70">
        <v>14499</v>
      </c>
      <c r="D96" s="78">
        <f>15000-501</f>
        <v>14499</v>
      </c>
      <c r="E96" s="16">
        <v>14498.01</v>
      </c>
      <c r="F96" s="17">
        <f t="shared" si="3"/>
        <v>0.99993171942892611</v>
      </c>
      <c r="G96" s="45" t="s">
        <v>227</v>
      </c>
      <c r="H96" s="25" t="s">
        <v>19</v>
      </c>
    </row>
    <row r="97" spans="1:24" ht="17.25" customHeight="1" x14ac:dyDescent="0.25">
      <c r="A97" s="129" t="s">
        <v>98</v>
      </c>
      <c r="B97" s="129"/>
      <c r="C97" s="72">
        <f>SUM(C98:C98)</f>
        <v>2322451.65</v>
      </c>
      <c r="D97" s="72">
        <f>SUM(D98:D98)</f>
        <v>850000</v>
      </c>
      <c r="E97" s="72">
        <f>SUM(E98:E98)</f>
        <v>788413.66</v>
      </c>
      <c r="F97" s="81">
        <f t="shared" si="3"/>
        <v>0.92754548235294121</v>
      </c>
      <c r="G97" s="73"/>
      <c r="H97" s="82"/>
      <c r="I97" s="55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 spans="1:24" s="83" customFormat="1" ht="34.5" customHeight="1" x14ac:dyDescent="0.25">
      <c r="A98" s="60" t="s">
        <v>241</v>
      </c>
      <c r="B98" s="42" t="s">
        <v>100</v>
      </c>
      <c r="C98" s="51">
        <f>1672451.65+200000+150000+150000+150000</f>
        <v>2322451.65</v>
      </c>
      <c r="D98" s="15">
        <f>200000+200000+150000+150000+150000</f>
        <v>850000</v>
      </c>
      <c r="E98" s="16">
        <v>788413.66</v>
      </c>
      <c r="F98" s="17">
        <f t="shared" si="3"/>
        <v>0.92754548235294121</v>
      </c>
      <c r="G98" s="45" t="s">
        <v>167</v>
      </c>
      <c r="H98" s="25" t="s">
        <v>19</v>
      </c>
      <c r="I98" s="55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</row>
    <row r="99" spans="1:24" ht="18" customHeight="1" x14ac:dyDescent="0.25">
      <c r="A99" s="144" t="s">
        <v>101</v>
      </c>
      <c r="B99" s="144"/>
      <c r="C99" s="10">
        <f>SUM(C100:C134)</f>
        <v>2954629.75</v>
      </c>
      <c r="D99" s="10">
        <f>SUM(D100:D134)</f>
        <v>1119629.7499999998</v>
      </c>
      <c r="E99" s="10">
        <f>SUM(E100:E134)</f>
        <v>868764.7699999999</v>
      </c>
      <c r="F99" s="11">
        <f t="shared" si="3"/>
        <v>0.77593934066150005</v>
      </c>
      <c r="G99" s="63"/>
      <c r="H99" s="10"/>
    </row>
    <row r="100" spans="1:24" ht="22.5" customHeight="1" x14ac:dyDescent="0.25">
      <c r="A100" s="145" t="s">
        <v>242</v>
      </c>
      <c r="B100" s="146" t="s">
        <v>103</v>
      </c>
      <c r="C100" s="51">
        <f>35000-965.9</f>
        <v>34034.1</v>
      </c>
      <c r="D100" s="15">
        <f>35000-965.9</f>
        <v>34034.1</v>
      </c>
      <c r="E100" s="16">
        <v>34034.1</v>
      </c>
      <c r="F100" s="41">
        <f t="shared" si="3"/>
        <v>1</v>
      </c>
      <c r="G100" s="42" t="s">
        <v>180</v>
      </c>
      <c r="H100" s="25" t="s">
        <v>19</v>
      </c>
    </row>
    <row r="101" spans="1:24" ht="21" customHeight="1" x14ac:dyDescent="0.25">
      <c r="A101" s="145"/>
      <c r="B101" s="146"/>
      <c r="C101" s="51">
        <f>80000-917</f>
        <v>79083</v>
      </c>
      <c r="D101" s="15">
        <f>80000-917</f>
        <v>79083</v>
      </c>
      <c r="E101" s="16">
        <v>79083</v>
      </c>
      <c r="F101" s="41">
        <f t="shared" si="3"/>
        <v>1</v>
      </c>
      <c r="G101" s="42" t="s">
        <v>181</v>
      </c>
      <c r="H101" s="25" t="s">
        <v>19</v>
      </c>
    </row>
    <row r="102" spans="1:24" ht="21.75" customHeight="1" x14ac:dyDescent="0.25">
      <c r="A102" s="145"/>
      <c r="B102" s="146"/>
      <c r="C102" s="51">
        <f>18000+300-797.1</f>
        <v>17502.900000000001</v>
      </c>
      <c r="D102" s="15">
        <f>18300-797.1</f>
        <v>17502.900000000001</v>
      </c>
      <c r="E102" s="16">
        <v>17502.900000000001</v>
      </c>
      <c r="F102" s="41">
        <f t="shared" si="3"/>
        <v>1</v>
      </c>
      <c r="G102" s="42" t="s">
        <v>182</v>
      </c>
      <c r="H102" s="25" t="s">
        <v>19</v>
      </c>
    </row>
    <row r="103" spans="1:24" ht="26.25" customHeight="1" x14ac:dyDescent="0.25">
      <c r="A103" s="145"/>
      <c r="B103" s="146"/>
      <c r="C103" s="51">
        <f>53000-6500-1498.15</f>
        <v>45001.85</v>
      </c>
      <c r="D103" s="15">
        <f>46500-1498.15</f>
        <v>45001.85</v>
      </c>
      <c r="E103" s="16">
        <v>45001.85</v>
      </c>
      <c r="F103" s="41">
        <f t="shared" si="3"/>
        <v>1</v>
      </c>
      <c r="G103" s="42" t="s">
        <v>183</v>
      </c>
      <c r="H103" s="25" t="s">
        <v>19</v>
      </c>
    </row>
    <row r="104" spans="1:24" ht="29.25" customHeight="1" x14ac:dyDescent="0.25">
      <c r="A104" s="145"/>
      <c r="B104" s="146"/>
      <c r="C104" s="51">
        <f>68000+5700-1110.6</f>
        <v>72589.399999999994</v>
      </c>
      <c r="D104" s="15">
        <f>73700-1110.6</f>
        <v>72589.399999999994</v>
      </c>
      <c r="E104" s="16">
        <v>72589.399999999994</v>
      </c>
      <c r="F104" s="41">
        <f t="shared" si="3"/>
        <v>1</v>
      </c>
      <c r="G104" s="42" t="s">
        <v>184</v>
      </c>
      <c r="H104" s="25" t="s">
        <v>19</v>
      </c>
    </row>
    <row r="105" spans="1:24" ht="22.5" customHeight="1" x14ac:dyDescent="0.25">
      <c r="A105" s="145"/>
      <c r="B105" s="146"/>
      <c r="C105" s="51">
        <f>6000-2310</f>
        <v>3690</v>
      </c>
      <c r="D105" s="15">
        <v>3690</v>
      </c>
      <c r="E105" s="16">
        <v>3690</v>
      </c>
      <c r="F105" s="41">
        <f t="shared" si="3"/>
        <v>1</v>
      </c>
      <c r="G105" s="21" t="s">
        <v>185</v>
      </c>
      <c r="H105" s="25" t="s">
        <v>19</v>
      </c>
    </row>
    <row r="106" spans="1:24" ht="24.75" customHeight="1" x14ac:dyDescent="0.25">
      <c r="A106" s="145"/>
      <c r="B106" s="146"/>
      <c r="C106" s="51">
        <f>6000-2187</f>
        <v>3813</v>
      </c>
      <c r="D106" s="15">
        <v>3813</v>
      </c>
      <c r="E106" s="16">
        <v>3813</v>
      </c>
      <c r="F106" s="41">
        <f t="shared" si="3"/>
        <v>1</v>
      </c>
      <c r="G106" s="21" t="s">
        <v>186</v>
      </c>
      <c r="H106" s="25" t="s">
        <v>19</v>
      </c>
    </row>
    <row r="107" spans="1:24" ht="23.25" customHeight="1" x14ac:dyDescent="0.25">
      <c r="A107" s="145"/>
      <c r="B107" s="146"/>
      <c r="C107" s="51">
        <f>6000-1080</f>
        <v>4920</v>
      </c>
      <c r="D107" s="15">
        <v>4920</v>
      </c>
      <c r="E107" s="16">
        <v>4920</v>
      </c>
      <c r="F107" s="41">
        <f t="shared" si="3"/>
        <v>1</v>
      </c>
      <c r="G107" s="21" t="s">
        <v>187</v>
      </c>
      <c r="H107" s="67" t="s">
        <v>19</v>
      </c>
    </row>
    <row r="108" spans="1:24" ht="24" customHeight="1" x14ac:dyDescent="0.25">
      <c r="A108" s="145"/>
      <c r="B108" s="146"/>
      <c r="C108" s="51">
        <f>6000-2310</f>
        <v>3690</v>
      </c>
      <c r="D108" s="15">
        <v>3690</v>
      </c>
      <c r="E108" s="16">
        <v>3690</v>
      </c>
      <c r="F108" s="41">
        <f t="shared" si="3"/>
        <v>1</v>
      </c>
      <c r="G108" s="21" t="s">
        <v>188</v>
      </c>
      <c r="H108" s="67" t="s">
        <v>19</v>
      </c>
    </row>
    <row r="109" spans="1:24" ht="21" customHeight="1" x14ac:dyDescent="0.25">
      <c r="A109" s="145"/>
      <c r="B109" s="146"/>
      <c r="C109" s="51">
        <f>6000-219</f>
        <v>5781</v>
      </c>
      <c r="D109" s="15">
        <v>5781</v>
      </c>
      <c r="E109" s="16">
        <v>5781</v>
      </c>
      <c r="F109" s="41">
        <f t="shared" ref="F109:F127" si="4">E109/D109</f>
        <v>1</v>
      </c>
      <c r="G109" s="21" t="s">
        <v>189</v>
      </c>
      <c r="H109" s="67" t="s">
        <v>19</v>
      </c>
    </row>
    <row r="110" spans="1:24" ht="23.25" customHeight="1" x14ac:dyDescent="0.25">
      <c r="A110" s="145"/>
      <c r="B110" s="146"/>
      <c r="C110" s="51">
        <f>6000-219</f>
        <v>5781</v>
      </c>
      <c r="D110" s="15">
        <v>5781</v>
      </c>
      <c r="E110" s="16">
        <v>5781</v>
      </c>
      <c r="F110" s="41">
        <f t="shared" si="4"/>
        <v>1</v>
      </c>
      <c r="G110" s="21" t="s">
        <v>190</v>
      </c>
      <c r="H110" s="67" t="s">
        <v>19</v>
      </c>
    </row>
    <row r="111" spans="1:24" ht="24" customHeight="1" x14ac:dyDescent="0.25">
      <c r="A111" s="145"/>
      <c r="B111" s="146"/>
      <c r="C111" s="51">
        <f>6000-342</f>
        <v>5658</v>
      </c>
      <c r="D111" s="15">
        <v>5658</v>
      </c>
      <c r="E111" s="16">
        <v>5658</v>
      </c>
      <c r="F111" s="41">
        <f t="shared" si="4"/>
        <v>1</v>
      </c>
      <c r="G111" s="21" t="s">
        <v>191</v>
      </c>
      <c r="H111" s="67" t="s">
        <v>19</v>
      </c>
    </row>
    <row r="112" spans="1:24" ht="24" customHeight="1" x14ac:dyDescent="0.25">
      <c r="A112" s="145"/>
      <c r="B112" s="146"/>
      <c r="C112" s="51">
        <f>20000+41000</f>
        <v>61000</v>
      </c>
      <c r="D112" s="15">
        <f>20000+41000</f>
        <v>61000</v>
      </c>
      <c r="E112" s="16">
        <v>41020.5</v>
      </c>
      <c r="F112" s="41">
        <f t="shared" si="4"/>
        <v>0.6724672131147541</v>
      </c>
      <c r="G112" s="21" t="s">
        <v>192</v>
      </c>
      <c r="H112" s="25" t="s">
        <v>32</v>
      </c>
    </row>
    <row r="113" spans="1:8" ht="24" customHeight="1" x14ac:dyDescent="0.25">
      <c r="A113" s="145"/>
      <c r="B113" s="146"/>
      <c r="C113" s="51">
        <f>6000-342</f>
        <v>5658</v>
      </c>
      <c r="D113" s="15">
        <v>5658</v>
      </c>
      <c r="E113" s="16">
        <v>5658</v>
      </c>
      <c r="F113" s="41">
        <f t="shared" si="4"/>
        <v>1</v>
      </c>
      <c r="G113" s="21" t="s">
        <v>193</v>
      </c>
      <c r="H113" s="25" t="s">
        <v>32</v>
      </c>
    </row>
    <row r="114" spans="1:8" ht="32.25" customHeight="1" x14ac:dyDescent="0.25">
      <c r="A114" s="145"/>
      <c r="B114" s="146"/>
      <c r="C114" s="51">
        <f>6000+24000</f>
        <v>30000</v>
      </c>
      <c r="D114" s="51">
        <f>6000+24000</f>
        <v>30000</v>
      </c>
      <c r="E114" s="16">
        <v>27553.5</v>
      </c>
      <c r="F114" s="41">
        <f t="shared" si="4"/>
        <v>0.91844999999999999</v>
      </c>
      <c r="G114" s="84" t="s">
        <v>194</v>
      </c>
      <c r="H114" s="25" t="s">
        <v>32</v>
      </c>
    </row>
    <row r="115" spans="1:8" ht="24" customHeight="1" x14ac:dyDescent="0.25">
      <c r="A115" s="145"/>
      <c r="B115" s="146"/>
      <c r="C115" s="51">
        <f>12000+9000</f>
        <v>21000</v>
      </c>
      <c r="D115" s="15">
        <f>12000+9000</f>
        <v>21000</v>
      </c>
      <c r="E115" s="16">
        <v>17207.7</v>
      </c>
      <c r="F115" s="41">
        <f t="shared" si="4"/>
        <v>0.81941428571428576</v>
      </c>
      <c r="G115" s="85" t="s">
        <v>195</v>
      </c>
      <c r="H115" s="25" t="s">
        <v>32</v>
      </c>
    </row>
    <row r="116" spans="1:8" ht="30.95" customHeight="1" x14ac:dyDescent="0.25">
      <c r="A116" s="145"/>
      <c r="B116" s="146"/>
      <c r="C116" s="51">
        <f>40000+25500</f>
        <v>65500</v>
      </c>
      <c r="D116" s="15">
        <f>40000+25500</f>
        <v>65500</v>
      </c>
      <c r="E116" s="16">
        <v>60676.5</v>
      </c>
      <c r="F116" s="41">
        <f t="shared" si="4"/>
        <v>0.92635877862595417</v>
      </c>
      <c r="G116" s="85" t="s">
        <v>196</v>
      </c>
      <c r="H116" s="25" t="s">
        <v>32</v>
      </c>
    </row>
    <row r="117" spans="1:8" ht="28.7" customHeight="1" x14ac:dyDescent="0.25">
      <c r="A117" s="145"/>
      <c r="B117" s="146"/>
      <c r="C117" s="51">
        <f>60000+39000</f>
        <v>99000</v>
      </c>
      <c r="D117" s="15">
        <f>60000+39000</f>
        <v>99000</v>
      </c>
      <c r="E117" s="16">
        <v>82676.5</v>
      </c>
      <c r="F117" s="41">
        <f t="shared" si="4"/>
        <v>0.83511616161616165</v>
      </c>
      <c r="G117" s="85" t="s">
        <v>197</v>
      </c>
      <c r="H117" s="25" t="s">
        <v>32</v>
      </c>
    </row>
    <row r="118" spans="1:8" ht="29.65" customHeight="1" x14ac:dyDescent="0.25">
      <c r="A118" s="145"/>
      <c r="B118" s="146"/>
      <c r="C118" s="51">
        <f>70000+32500</f>
        <v>102500</v>
      </c>
      <c r="D118" s="15">
        <f>70000+32500</f>
        <v>102500</v>
      </c>
      <c r="E118" s="16">
        <v>87676.5</v>
      </c>
      <c r="F118" s="41">
        <f t="shared" si="4"/>
        <v>0.85538048780487808</v>
      </c>
      <c r="G118" s="85" t="s">
        <v>198</v>
      </c>
      <c r="H118" s="25" t="s">
        <v>32</v>
      </c>
    </row>
    <row r="119" spans="1:8" ht="24" customHeight="1" x14ac:dyDescent="0.25">
      <c r="A119" s="145"/>
      <c r="B119" s="146"/>
      <c r="C119" s="51">
        <f>107800-1355.8</f>
        <v>106444.2</v>
      </c>
      <c r="D119" s="15">
        <f>107800-1355.8</f>
        <v>106444.2</v>
      </c>
      <c r="E119" s="16">
        <v>106444.2</v>
      </c>
      <c r="F119" s="41">
        <f t="shared" si="4"/>
        <v>1</v>
      </c>
      <c r="G119" s="85" t="s">
        <v>199</v>
      </c>
      <c r="H119" s="25" t="s">
        <v>32</v>
      </c>
    </row>
    <row r="120" spans="1:8" ht="36" customHeight="1" x14ac:dyDescent="0.25">
      <c r="A120" s="145"/>
      <c r="B120" s="146"/>
      <c r="C120" s="51">
        <f>70000+26000</f>
        <v>96000</v>
      </c>
      <c r="D120" s="15">
        <f>70000+26000</f>
        <v>96000</v>
      </c>
      <c r="E120" s="16">
        <v>15492</v>
      </c>
      <c r="F120" s="41">
        <f t="shared" si="4"/>
        <v>0.16137499999999999</v>
      </c>
      <c r="G120" s="85" t="s">
        <v>200</v>
      </c>
      <c r="H120" s="25" t="s">
        <v>32</v>
      </c>
    </row>
    <row r="121" spans="1:8" ht="24" customHeight="1" x14ac:dyDescent="0.25">
      <c r="A121" s="145"/>
      <c r="B121" s="146"/>
      <c r="C121" s="51">
        <f>10000-775</f>
        <v>9225</v>
      </c>
      <c r="D121" s="15">
        <v>9225</v>
      </c>
      <c r="E121" s="16">
        <v>9225</v>
      </c>
      <c r="F121" s="41">
        <f t="shared" si="4"/>
        <v>1</v>
      </c>
      <c r="G121" s="85" t="s">
        <v>201</v>
      </c>
      <c r="H121" s="25" t="s">
        <v>32</v>
      </c>
    </row>
    <row r="122" spans="1:8" ht="30.75" customHeight="1" x14ac:dyDescent="0.25">
      <c r="A122" s="145"/>
      <c r="B122" s="146"/>
      <c r="C122" s="51">
        <f>6000+2000</f>
        <v>8000</v>
      </c>
      <c r="D122" s="15">
        <v>8000</v>
      </c>
      <c r="E122" s="16">
        <v>7995</v>
      </c>
      <c r="F122" s="41">
        <f t="shared" si="4"/>
        <v>0.99937500000000001</v>
      </c>
      <c r="G122" s="85" t="s">
        <v>202</v>
      </c>
      <c r="H122" s="25" t="s">
        <v>32</v>
      </c>
    </row>
    <row r="123" spans="1:8" ht="30.75" customHeight="1" x14ac:dyDescent="0.25">
      <c r="A123" s="145"/>
      <c r="B123" s="146"/>
      <c r="C123" s="51">
        <f>8500-2965</f>
        <v>5535</v>
      </c>
      <c r="D123" s="15">
        <v>5535</v>
      </c>
      <c r="E123" s="16">
        <v>5535</v>
      </c>
      <c r="F123" s="41">
        <f t="shared" si="4"/>
        <v>1</v>
      </c>
      <c r="G123" s="85" t="s">
        <v>203</v>
      </c>
      <c r="H123" s="25" t="s">
        <v>32</v>
      </c>
    </row>
    <row r="124" spans="1:8" ht="45" customHeight="1" x14ac:dyDescent="0.25">
      <c r="A124" s="145"/>
      <c r="B124" s="146"/>
      <c r="C124" s="51">
        <v>40000</v>
      </c>
      <c r="D124" s="15">
        <f>40000-35000</f>
        <v>5000</v>
      </c>
      <c r="E124" s="16">
        <v>5000</v>
      </c>
      <c r="F124" s="41">
        <f t="shared" si="4"/>
        <v>1</v>
      </c>
      <c r="G124" s="85" t="s">
        <v>204</v>
      </c>
      <c r="H124" s="25" t="s">
        <v>19</v>
      </c>
    </row>
    <row r="125" spans="1:8" ht="33.75" customHeight="1" x14ac:dyDescent="0.25">
      <c r="A125" s="145"/>
      <c r="B125" s="146"/>
      <c r="C125" s="51">
        <f>44449+9000</f>
        <v>53449</v>
      </c>
      <c r="D125" s="15">
        <f>44449+9000</f>
        <v>53449</v>
      </c>
      <c r="E125" s="16">
        <v>48051.199999999997</v>
      </c>
      <c r="F125" s="41">
        <f t="shared" si="4"/>
        <v>0.89901027147374124</v>
      </c>
      <c r="G125" s="85" t="s">
        <v>205</v>
      </c>
      <c r="H125" s="25" t="s">
        <v>32</v>
      </c>
    </row>
    <row r="126" spans="1:8" ht="30.75" customHeight="1" x14ac:dyDescent="0.25">
      <c r="A126" s="145"/>
      <c r="B126" s="146"/>
      <c r="C126" s="51">
        <v>5000</v>
      </c>
      <c r="D126" s="15">
        <v>5000</v>
      </c>
      <c r="E126" s="16">
        <v>2234.62</v>
      </c>
      <c r="F126" s="41">
        <f t="shared" si="4"/>
        <v>0.44692399999999999</v>
      </c>
      <c r="G126" s="21" t="s">
        <v>206</v>
      </c>
      <c r="H126" s="25" t="s">
        <v>19</v>
      </c>
    </row>
    <row r="127" spans="1:8" ht="30.75" customHeight="1" x14ac:dyDescent="0.25">
      <c r="A127" s="86" t="s">
        <v>72</v>
      </c>
      <c r="B127" s="87" t="s">
        <v>105</v>
      </c>
      <c r="C127" s="51">
        <v>1900000</v>
      </c>
      <c r="D127" s="15">
        <v>100000</v>
      </c>
      <c r="E127" s="16">
        <v>0</v>
      </c>
      <c r="F127" s="41">
        <f t="shared" si="4"/>
        <v>0</v>
      </c>
      <c r="G127" s="21" t="s">
        <v>172</v>
      </c>
      <c r="H127" s="25" t="s">
        <v>19</v>
      </c>
    </row>
    <row r="128" spans="1:8" ht="13.5" customHeight="1" x14ac:dyDescent="0.25">
      <c r="A128" s="147" t="s">
        <v>75</v>
      </c>
      <c r="B128" s="148" t="s">
        <v>106</v>
      </c>
      <c r="C128" s="134" t="s">
        <v>64</v>
      </c>
      <c r="D128" s="134"/>
      <c r="E128" s="134"/>
      <c r="F128" s="134"/>
      <c r="G128" s="134"/>
      <c r="H128" s="134"/>
    </row>
    <row r="129" spans="1:37" ht="37.5" customHeight="1" x14ac:dyDescent="0.25">
      <c r="A129" s="147"/>
      <c r="B129" s="148"/>
      <c r="C129" s="51">
        <f>12000-3537.6</f>
        <v>8462.4</v>
      </c>
      <c r="D129" s="51">
        <f>12000-3537.6</f>
        <v>8462.4</v>
      </c>
      <c r="E129" s="16">
        <v>8462.4</v>
      </c>
      <c r="F129" s="88">
        <f>E129/D129</f>
        <v>1</v>
      </c>
      <c r="G129" s="21" t="s">
        <v>207</v>
      </c>
      <c r="H129" s="25" t="s">
        <v>32</v>
      </c>
    </row>
    <row r="130" spans="1:37" ht="34.5" customHeight="1" x14ac:dyDescent="0.25">
      <c r="A130" s="147"/>
      <c r="B130" s="148"/>
      <c r="C130" s="51">
        <f>9000-1251</f>
        <v>7749</v>
      </c>
      <c r="D130" s="51">
        <f>9000-1251</f>
        <v>7749</v>
      </c>
      <c r="E130" s="16">
        <v>7749</v>
      </c>
      <c r="F130" s="88">
        <f>E130/D130</f>
        <v>1</v>
      </c>
      <c r="G130" s="21" t="s">
        <v>208</v>
      </c>
      <c r="H130" s="25" t="s">
        <v>32</v>
      </c>
    </row>
    <row r="131" spans="1:37" ht="39" customHeight="1" x14ac:dyDescent="0.25">
      <c r="A131" s="147"/>
      <c r="B131" s="148"/>
      <c r="C131" s="51">
        <v>22581.5</v>
      </c>
      <c r="D131" s="15">
        <v>22581.5</v>
      </c>
      <c r="E131" s="16">
        <v>22581.5</v>
      </c>
      <c r="F131" s="88">
        <f>E131/D131</f>
        <v>1</v>
      </c>
      <c r="G131" s="21" t="s">
        <v>209</v>
      </c>
      <c r="H131" s="25" t="s">
        <v>32</v>
      </c>
    </row>
    <row r="132" spans="1:37" ht="18" customHeight="1" x14ac:dyDescent="0.25">
      <c r="A132" s="147"/>
      <c r="B132" s="148"/>
      <c r="C132" s="134" t="s">
        <v>107</v>
      </c>
      <c r="D132" s="134"/>
      <c r="E132" s="134"/>
      <c r="F132" s="134"/>
      <c r="G132" s="134"/>
      <c r="H132" s="134"/>
    </row>
    <row r="133" spans="1:37" ht="35.25" customHeight="1" x14ac:dyDescent="0.25">
      <c r="A133" s="147"/>
      <c r="B133" s="148"/>
      <c r="C133" s="51">
        <v>11290.75</v>
      </c>
      <c r="D133" s="51">
        <v>11290.75</v>
      </c>
      <c r="E133" s="16">
        <v>11290.75</v>
      </c>
      <c r="F133" s="88">
        <f>E133/D133</f>
        <v>1</v>
      </c>
      <c r="G133" s="21" t="s">
        <v>210</v>
      </c>
      <c r="H133" s="25" t="s">
        <v>19</v>
      </c>
    </row>
    <row r="134" spans="1:37" ht="33.75" customHeight="1" x14ac:dyDescent="0.25">
      <c r="A134" s="147"/>
      <c r="B134" s="148"/>
      <c r="C134" s="51">
        <f>19310.64-4619.99</f>
        <v>14690.65</v>
      </c>
      <c r="D134" s="51">
        <f>19310.64-4619.99</f>
        <v>14690.65</v>
      </c>
      <c r="E134" s="16">
        <v>14690.65</v>
      </c>
      <c r="F134" s="88">
        <f>E134/D134</f>
        <v>1</v>
      </c>
      <c r="G134" s="45" t="s">
        <v>211</v>
      </c>
      <c r="H134" s="25" t="s">
        <v>19</v>
      </c>
    </row>
    <row r="135" spans="1:37" ht="14.25" customHeight="1" x14ac:dyDescent="0.25">
      <c r="A135" s="130" t="s">
        <v>108</v>
      </c>
      <c r="B135" s="130"/>
      <c r="C135" s="10">
        <f>SUM(C136:C139)</f>
        <v>52105.85</v>
      </c>
      <c r="D135" s="10">
        <f>SUM(D136:D139)</f>
        <v>52105.85</v>
      </c>
      <c r="E135" s="10">
        <f>SUM(E136:E139)</f>
        <v>35354</v>
      </c>
      <c r="F135" s="89">
        <f>E135/D135</f>
        <v>0.67850346938011763</v>
      </c>
      <c r="G135" s="10"/>
      <c r="H135" s="90"/>
    </row>
    <row r="136" spans="1:37" ht="19.5" customHeight="1" x14ac:dyDescent="0.25">
      <c r="A136" s="147" t="s">
        <v>243</v>
      </c>
      <c r="B136" s="148" t="s">
        <v>109</v>
      </c>
      <c r="C136" s="141" t="s">
        <v>110</v>
      </c>
      <c r="D136" s="141"/>
      <c r="E136" s="141"/>
      <c r="F136" s="141"/>
      <c r="G136" s="141"/>
      <c r="H136" s="141"/>
    </row>
    <row r="137" spans="1:37" ht="54" customHeight="1" x14ac:dyDescent="0.25">
      <c r="A137" s="147"/>
      <c r="B137" s="148"/>
      <c r="C137" s="91">
        <f>25372.47-6922.47</f>
        <v>18450</v>
      </c>
      <c r="D137" s="91">
        <v>18450</v>
      </c>
      <c r="E137" s="16">
        <v>18450</v>
      </c>
      <c r="F137" s="57">
        <f t="shared" ref="F137:F144" si="5">E137/D137</f>
        <v>1</v>
      </c>
      <c r="G137" s="45" t="s">
        <v>212</v>
      </c>
      <c r="H137" s="25" t="s">
        <v>19</v>
      </c>
    </row>
    <row r="138" spans="1:37" ht="46.5" customHeight="1" x14ac:dyDescent="0.25">
      <c r="A138" s="147"/>
      <c r="B138" s="148"/>
      <c r="C138" s="91">
        <v>10104</v>
      </c>
      <c r="D138" s="51">
        <f>30000-19000-896</f>
        <v>10104</v>
      </c>
      <c r="E138" s="16">
        <v>10104</v>
      </c>
      <c r="F138" s="57">
        <f t="shared" si="5"/>
        <v>1</v>
      </c>
      <c r="G138" s="45" t="s">
        <v>213</v>
      </c>
      <c r="H138" s="25" t="s">
        <v>19</v>
      </c>
    </row>
    <row r="139" spans="1:37" ht="42.75" customHeight="1" x14ac:dyDescent="0.25">
      <c r="A139" s="147"/>
      <c r="B139" s="148"/>
      <c r="C139" s="91">
        <v>23551.85</v>
      </c>
      <c r="D139" s="51">
        <v>23551.85</v>
      </c>
      <c r="E139" s="16">
        <v>6800</v>
      </c>
      <c r="F139" s="57">
        <f t="shared" si="5"/>
        <v>0.28872466494139526</v>
      </c>
      <c r="G139" s="45" t="s">
        <v>214</v>
      </c>
      <c r="H139" s="25" t="s">
        <v>19</v>
      </c>
    </row>
    <row r="140" spans="1:37" ht="15" customHeight="1" x14ac:dyDescent="0.25">
      <c r="A140" s="131" t="s">
        <v>111</v>
      </c>
      <c r="B140" s="131"/>
      <c r="C140" s="10">
        <f>SUM(C141:C150)</f>
        <v>985928.45</v>
      </c>
      <c r="D140" s="10">
        <f>SUM(D141:D150)</f>
        <v>635928.44999999995</v>
      </c>
      <c r="E140" s="10">
        <f>SUM(E141:E150)</f>
        <v>167910.57</v>
      </c>
      <c r="F140" s="37">
        <f t="shared" si="5"/>
        <v>0.26404003469258219</v>
      </c>
      <c r="G140" s="10"/>
      <c r="H140" s="12"/>
    </row>
    <row r="141" spans="1:37" ht="29.25" customHeight="1" x14ac:dyDescent="0.25">
      <c r="A141" s="92" t="s">
        <v>78</v>
      </c>
      <c r="B141" s="42" t="s">
        <v>112</v>
      </c>
      <c r="C141" s="51">
        <v>10000</v>
      </c>
      <c r="D141" s="51">
        <v>10000</v>
      </c>
      <c r="E141" s="51">
        <v>0</v>
      </c>
      <c r="F141" s="57">
        <f t="shared" si="5"/>
        <v>0</v>
      </c>
      <c r="G141" s="45" t="s">
        <v>216</v>
      </c>
      <c r="H141" s="25" t="s">
        <v>32</v>
      </c>
    </row>
    <row r="142" spans="1:37" ht="29.25" customHeight="1" x14ac:dyDescent="0.25">
      <c r="A142" s="92" t="s">
        <v>82</v>
      </c>
      <c r="B142" s="42" t="s">
        <v>113</v>
      </c>
      <c r="C142" s="51">
        <v>200000</v>
      </c>
      <c r="D142" s="51">
        <v>200000</v>
      </c>
      <c r="E142" s="51">
        <v>1476</v>
      </c>
      <c r="F142" s="57">
        <f t="shared" si="5"/>
        <v>7.3800000000000003E-3</v>
      </c>
      <c r="G142" s="42" t="s">
        <v>215</v>
      </c>
      <c r="H142" s="25" t="s">
        <v>32</v>
      </c>
    </row>
    <row r="143" spans="1:37" ht="30" customHeight="1" x14ac:dyDescent="0.25">
      <c r="A143" s="92" t="s">
        <v>244</v>
      </c>
      <c r="B143" s="24" t="s">
        <v>114</v>
      </c>
      <c r="C143" s="51">
        <f>100000+70000+80000</f>
        <v>250000</v>
      </c>
      <c r="D143" s="15">
        <v>250000</v>
      </c>
      <c r="E143" s="16">
        <v>0</v>
      </c>
      <c r="F143" s="57">
        <f t="shared" si="5"/>
        <v>0</v>
      </c>
      <c r="G143" s="45" t="s">
        <v>217</v>
      </c>
      <c r="H143" s="25" t="s">
        <v>32</v>
      </c>
    </row>
    <row r="144" spans="1:37" s="83" customFormat="1" ht="30" customHeight="1" x14ac:dyDescent="0.25">
      <c r="A144" s="93" t="s">
        <v>84</v>
      </c>
      <c r="B144" s="74" t="s">
        <v>115</v>
      </c>
      <c r="C144" s="51">
        <f>3700+9000</f>
        <v>12700</v>
      </c>
      <c r="D144" s="15">
        <f>3700+9000</f>
        <v>12700</v>
      </c>
      <c r="E144" s="16">
        <v>3690</v>
      </c>
      <c r="F144" s="57">
        <f t="shared" si="5"/>
        <v>0.29055118110236222</v>
      </c>
      <c r="G144" s="45" t="s">
        <v>46</v>
      </c>
      <c r="H144" s="94" t="s">
        <v>32</v>
      </c>
      <c r="I144" s="55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</row>
    <row r="145" spans="1:69" ht="19.5" customHeight="1" x14ac:dyDescent="0.25">
      <c r="A145" s="26"/>
      <c r="B145" s="146" t="s">
        <v>116</v>
      </c>
      <c r="C145" s="149" t="s">
        <v>64</v>
      </c>
      <c r="D145" s="149"/>
      <c r="E145" s="149"/>
      <c r="F145" s="149"/>
      <c r="G145" s="149"/>
      <c r="H145" s="149"/>
    </row>
    <row r="146" spans="1:69" ht="33" customHeight="1" x14ac:dyDescent="0.25">
      <c r="A146" s="95"/>
      <c r="B146" s="146"/>
      <c r="C146" s="51">
        <f>22918.57+7000</f>
        <v>29918.57</v>
      </c>
      <c r="D146" s="51">
        <f>22918.57+7000</f>
        <v>29918.57</v>
      </c>
      <c r="E146" s="16">
        <v>29500</v>
      </c>
      <c r="F146" s="57">
        <f t="shared" ref="F146:F157" si="6">E146/D146</f>
        <v>0.98600969230815516</v>
      </c>
      <c r="G146" s="45" t="s">
        <v>218</v>
      </c>
      <c r="H146" s="25" t="s">
        <v>32</v>
      </c>
    </row>
    <row r="147" spans="1:69" ht="33" customHeight="1" x14ac:dyDescent="0.25">
      <c r="A147" s="95"/>
      <c r="B147" s="146"/>
      <c r="C147" s="96">
        <v>4000</v>
      </c>
      <c r="D147" s="51">
        <v>4000</v>
      </c>
      <c r="E147" s="48">
        <v>3965.9</v>
      </c>
      <c r="F147" s="57">
        <f t="shared" si="6"/>
        <v>0.991475</v>
      </c>
      <c r="G147" s="45" t="s">
        <v>219</v>
      </c>
      <c r="H147" s="67" t="s">
        <v>32</v>
      </c>
    </row>
    <row r="148" spans="1:69" ht="36.75" customHeight="1" x14ac:dyDescent="0.25">
      <c r="A148" s="97" t="s">
        <v>87</v>
      </c>
      <c r="B148" s="146"/>
      <c r="C148" s="51">
        <v>36744.94</v>
      </c>
      <c r="D148" s="51">
        <v>36744.94</v>
      </c>
      <c r="E148" s="16">
        <v>36738.870000000003</v>
      </c>
      <c r="F148" s="57">
        <f t="shared" si="6"/>
        <v>0.99983480718705764</v>
      </c>
      <c r="G148" s="45" t="s">
        <v>220</v>
      </c>
      <c r="H148" s="25" t="s">
        <v>32</v>
      </c>
    </row>
    <row r="149" spans="1:69" ht="30" customHeight="1" x14ac:dyDescent="0.25">
      <c r="A149" s="95"/>
      <c r="B149" s="146"/>
      <c r="C149" s="96">
        <v>50744.94</v>
      </c>
      <c r="D149" s="51">
        <v>50744.94</v>
      </c>
      <c r="E149" s="48">
        <v>50719.8</v>
      </c>
      <c r="F149" s="57">
        <f t="shared" si="6"/>
        <v>0.99950458114641583</v>
      </c>
      <c r="G149" s="98" t="s">
        <v>221</v>
      </c>
      <c r="H149" s="67" t="s">
        <v>32</v>
      </c>
    </row>
    <row r="150" spans="1:69" ht="35.25" customHeight="1" x14ac:dyDescent="0.25">
      <c r="A150" s="23" t="s">
        <v>90</v>
      </c>
      <c r="B150" s="21" t="s">
        <v>117</v>
      </c>
      <c r="C150" s="51">
        <f>20000+250000+80000+80000-38180</f>
        <v>391820</v>
      </c>
      <c r="D150" s="15">
        <f>80000-38180</f>
        <v>41820</v>
      </c>
      <c r="E150" s="16">
        <v>41820</v>
      </c>
      <c r="F150" s="57">
        <f t="shared" si="6"/>
        <v>1</v>
      </c>
      <c r="G150" s="45" t="s">
        <v>118</v>
      </c>
      <c r="H150" s="25" t="s">
        <v>32</v>
      </c>
      <c r="I150" s="55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 spans="1:69" ht="16.5" customHeight="1" x14ac:dyDescent="0.25">
      <c r="A151" s="138" t="s">
        <v>119</v>
      </c>
      <c r="B151" s="138"/>
      <c r="C151" s="10">
        <f>C152</f>
        <v>12423</v>
      </c>
      <c r="D151" s="10">
        <f>D152</f>
        <v>12423</v>
      </c>
      <c r="E151" s="10">
        <f>E152</f>
        <v>12423</v>
      </c>
      <c r="F151" s="37">
        <f t="shared" si="6"/>
        <v>1</v>
      </c>
      <c r="G151" s="10"/>
      <c r="H151" s="10"/>
      <c r="I151" s="55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 spans="1:69" s="83" customFormat="1" ht="45.75" customHeight="1" x14ac:dyDescent="0.25">
      <c r="A152" s="60" t="s">
        <v>245</v>
      </c>
      <c r="B152" s="21" t="s">
        <v>116</v>
      </c>
      <c r="C152" s="51">
        <f>13000-577</f>
        <v>12423</v>
      </c>
      <c r="D152" s="15">
        <f>13000-577</f>
        <v>12423</v>
      </c>
      <c r="E152" s="16">
        <v>12423</v>
      </c>
      <c r="F152" s="57">
        <f t="shared" si="6"/>
        <v>1</v>
      </c>
      <c r="G152" s="45" t="s">
        <v>222</v>
      </c>
      <c r="H152" s="25" t="s">
        <v>19</v>
      </c>
      <c r="I152" s="55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</row>
    <row r="153" spans="1:69" x14ac:dyDescent="0.25">
      <c r="A153" s="129" t="s">
        <v>120</v>
      </c>
      <c r="B153" s="129"/>
      <c r="C153" s="10">
        <f>SUM(C154:C161)</f>
        <v>192259.97</v>
      </c>
      <c r="D153" s="10">
        <f>SUM(D154:D161)</f>
        <v>192259.97</v>
      </c>
      <c r="E153" s="10">
        <f>SUM(E154:E161)</f>
        <v>178774.73</v>
      </c>
      <c r="F153" s="37">
        <f t="shared" si="6"/>
        <v>0.92985934617590971</v>
      </c>
      <c r="G153" s="10"/>
      <c r="H153" s="39"/>
    </row>
    <row r="154" spans="1:69" ht="36" customHeight="1" x14ac:dyDescent="0.25">
      <c r="A154" s="13" t="s">
        <v>93</v>
      </c>
      <c r="B154" s="42" t="s">
        <v>121</v>
      </c>
      <c r="C154" s="51">
        <v>50000</v>
      </c>
      <c r="D154" s="15">
        <v>50000</v>
      </c>
      <c r="E154" s="16">
        <v>46125</v>
      </c>
      <c r="F154" s="57">
        <f t="shared" si="6"/>
        <v>0.92249999999999999</v>
      </c>
      <c r="G154" s="42" t="s">
        <v>46</v>
      </c>
      <c r="H154" s="94" t="s">
        <v>32</v>
      </c>
    </row>
    <row r="155" spans="1:69" ht="31.5" customHeight="1" x14ac:dyDescent="0.25">
      <c r="A155" s="13" t="s">
        <v>246</v>
      </c>
      <c r="B155" s="21" t="s">
        <v>122</v>
      </c>
      <c r="C155" s="51">
        <v>20000</v>
      </c>
      <c r="D155" s="15">
        <v>20000</v>
      </c>
      <c r="E155" s="16">
        <v>10469.76</v>
      </c>
      <c r="F155" s="57">
        <f t="shared" si="6"/>
        <v>0.52348800000000006</v>
      </c>
      <c r="G155" s="99" t="s">
        <v>123</v>
      </c>
      <c r="H155" s="94" t="s">
        <v>32</v>
      </c>
    </row>
    <row r="156" spans="1:69" ht="39.75" customHeight="1" x14ac:dyDescent="0.25">
      <c r="A156" s="13" t="s">
        <v>96</v>
      </c>
      <c r="B156" s="100" t="s">
        <v>124</v>
      </c>
      <c r="C156" s="51">
        <v>46887.5</v>
      </c>
      <c r="D156" s="15">
        <v>46887.5</v>
      </c>
      <c r="E156" s="16">
        <v>46887.5</v>
      </c>
      <c r="F156" s="57">
        <f t="shared" si="6"/>
        <v>1</v>
      </c>
      <c r="G156" s="101" t="s">
        <v>46</v>
      </c>
      <c r="H156" s="94" t="s">
        <v>32</v>
      </c>
    </row>
    <row r="157" spans="1:69" ht="31.5" customHeight="1" x14ac:dyDescent="0.25">
      <c r="A157" s="13" t="s">
        <v>99</v>
      </c>
      <c r="B157" s="102" t="s">
        <v>125</v>
      </c>
      <c r="C157" s="51">
        <v>5000</v>
      </c>
      <c r="D157" s="15">
        <v>5000</v>
      </c>
      <c r="E157" s="16">
        <v>4920</v>
      </c>
      <c r="F157" s="57">
        <f t="shared" si="6"/>
        <v>0.98399999999999999</v>
      </c>
      <c r="G157" s="45" t="s">
        <v>118</v>
      </c>
      <c r="H157" s="94" t="s">
        <v>32</v>
      </c>
    </row>
    <row r="158" spans="1:69" ht="15.75" customHeight="1" x14ac:dyDescent="0.25">
      <c r="A158" s="147" t="s">
        <v>102</v>
      </c>
      <c r="B158" s="148" t="s">
        <v>109</v>
      </c>
      <c r="C158" s="141" t="s">
        <v>126</v>
      </c>
      <c r="D158" s="141"/>
      <c r="E158" s="141"/>
      <c r="F158" s="141"/>
      <c r="G158" s="141"/>
      <c r="H158" s="141"/>
    </row>
    <row r="159" spans="1:69" ht="31.5" customHeight="1" x14ac:dyDescent="0.25">
      <c r="A159" s="147"/>
      <c r="B159" s="148"/>
      <c r="C159" s="103">
        <v>45000</v>
      </c>
      <c r="D159" s="103">
        <v>45000</v>
      </c>
      <c r="E159" s="103">
        <v>45000</v>
      </c>
      <c r="F159" s="104">
        <f>E159/D159</f>
        <v>1</v>
      </c>
      <c r="G159" s="45" t="s">
        <v>223</v>
      </c>
      <c r="H159" s="44" t="s">
        <v>32</v>
      </c>
    </row>
    <row r="160" spans="1:69" ht="18.75" customHeight="1" x14ac:dyDescent="0.25">
      <c r="A160" s="147"/>
      <c r="B160" s="148"/>
      <c r="C160" s="150" t="s">
        <v>127</v>
      </c>
      <c r="D160" s="150"/>
      <c r="E160" s="150"/>
      <c r="F160" s="150"/>
      <c r="G160" s="150"/>
      <c r="H160" s="105"/>
    </row>
    <row r="161" spans="1:8" ht="31.5" customHeight="1" x14ac:dyDescent="0.25">
      <c r="A161" s="147"/>
      <c r="B161" s="148"/>
      <c r="C161" s="106">
        <v>25372.47</v>
      </c>
      <c r="D161" s="106">
        <v>25372.47</v>
      </c>
      <c r="E161" s="107">
        <v>25372.47</v>
      </c>
      <c r="F161" s="108">
        <f>E161/D161</f>
        <v>1</v>
      </c>
      <c r="G161" s="98" t="s">
        <v>224</v>
      </c>
      <c r="H161" s="109" t="s">
        <v>16</v>
      </c>
    </row>
    <row r="162" spans="1:8" ht="12" customHeight="1" x14ac:dyDescent="0.25">
      <c r="A162" s="138" t="s">
        <v>128</v>
      </c>
      <c r="B162" s="138"/>
      <c r="C162" s="110">
        <f>C163</f>
        <v>66000</v>
      </c>
      <c r="D162" s="110">
        <f>D163</f>
        <v>66000</v>
      </c>
      <c r="E162" s="110">
        <f>E163</f>
        <v>65999</v>
      </c>
      <c r="F162" s="111">
        <f>E162/D162</f>
        <v>0.99998484848484848</v>
      </c>
      <c r="G162" s="112"/>
      <c r="H162" s="82"/>
    </row>
    <row r="163" spans="1:8" ht="37.5" customHeight="1" x14ac:dyDescent="0.25">
      <c r="A163" s="66" t="s">
        <v>104</v>
      </c>
      <c r="B163" s="42" t="s">
        <v>129</v>
      </c>
      <c r="C163" s="113">
        <v>66000</v>
      </c>
      <c r="D163" s="114">
        <v>66000</v>
      </c>
      <c r="E163" s="115">
        <v>65999</v>
      </c>
      <c r="F163" s="108">
        <f>E163/D163</f>
        <v>0.99998484848484848</v>
      </c>
      <c r="G163" s="98" t="s">
        <v>228</v>
      </c>
      <c r="H163" s="109" t="s">
        <v>32</v>
      </c>
    </row>
    <row r="164" spans="1:8" x14ac:dyDescent="0.25">
      <c r="A164" s="138" t="s">
        <v>130</v>
      </c>
      <c r="B164" s="138"/>
      <c r="C164" s="22">
        <f>C13+C16+C18+C20+C23+C56+C58+C64+C66+C68+C70+C72+C74+C79+C86+C89+C91+C93+C95+C97+C99+C135+C140+C151+C153+C162</f>
        <v>116897257.42000002</v>
      </c>
      <c r="D164" s="22">
        <f>D13+D16+D18+D20+D23+D56+D58+D64+D66+D68+D70+D72+D74+D79+D86+D89+D91+D93+D95+D97+D99+D135+D140+D151+D153+D162</f>
        <v>22510195.999999996</v>
      </c>
      <c r="E164" s="22">
        <f>E13+E16+E18+E20+E23+E56+E58+E64+E66+E68+E70+E72+E74+E79+E86+E89+E91+E93+E95+E97+E99+E135+E140+E151+E153+E162</f>
        <v>20685325.59</v>
      </c>
      <c r="F164" s="37">
        <f>E164/D164</f>
        <v>0.9189313851376506</v>
      </c>
      <c r="G164" s="22"/>
      <c r="H164" s="22"/>
    </row>
    <row r="165" spans="1:8" x14ac:dyDescent="0.25">
      <c r="C165" s="116"/>
      <c r="D165" s="116"/>
      <c r="E165" s="116"/>
      <c r="F165" s="116"/>
      <c r="G165" s="116"/>
      <c r="H165" s="116"/>
    </row>
    <row r="166" spans="1:8" x14ac:dyDescent="0.25">
      <c r="G166" s="117"/>
    </row>
    <row r="167" spans="1:8" x14ac:dyDescent="0.25">
      <c r="E167" s="117"/>
      <c r="F167" s="117"/>
      <c r="G167" s="117"/>
    </row>
    <row r="168" spans="1:8" x14ac:dyDescent="0.25">
      <c r="G168" s="117"/>
    </row>
    <row r="169" spans="1:8" x14ac:dyDescent="0.25">
      <c r="G169" s="117"/>
    </row>
    <row r="170" spans="1:8" x14ac:dyDescent="0.25">
      <c r="E170" s="117"/>
      <c r="F170" s="117"/>
    </row>
    <row r="171" spans="1:8" x14ac:dyDescent="0.25">
      <c r="G171" s="117"/>
    </row>
    <row r="172" spans="1:8" x14ac:dyDescent="0.25">
      <c r="B172" s="117"/>
      <c r="C172" s="118"/>
      <c r="D172" s="118"/>
      <c r="E172" s="118"/>
      <c r="F172" s="118"/>
      <c r="G172" s="117"/>
    </row>
    <row r="173" spans="1:8" x14ac:dyDescent="0.25">
      <c r="B173" s="117"/>
      <c r="C173" s="117"/>
      <c r="D173" s="117"/>
      <c r="E173" s="117"/>
      <c r="F173" s="117"/>
      <c r="G173" s="117"/>
    </row>
    <row r="174" spans="1:8" x14ac:dyDescent="0.25">
      <c r="B174" s="117"/>
      <c r="C174" s="117"/>
      <c r="D174" s="117"/>
      <c r="E174" s="117"/>
      <c r="F174" s="117"/>
      <c r="G174" s="117"/>
    </row>
    <row r="175" spans="1:8" x14ac:dyDescent="0.25">
      <c r="B175" s="117"/>
      <c r="C175" s="117"/>
      <c r="D175" s="117"/>
      <c r="E175" s="117"/>
      <c r="F175" s="117"/>
      <c r="G175" s="117"/>
    </row>
    <row r="176" spans="1:8" x14ac:dyDescent="0.25">
      <c r="B176" s="117"/>
      <c r="C176" s="117"/>
      <c r="D176" s="117"/>
      <c r="E176" s="117"/>
      <c r="F176" s="117"/>
      <c r="G176" s="117"/>
    </row>
  </sheetData>
  <mergeCells count="65">
    <mergeCell ref="A164:B164"/>
    <mergeCell ref="A158:A161"/>
    <mergeCell ref="B158:B161"/>
    <mergeCell ref="C158:H158"/>
    <mergeCell ref="C160:G160"/>
    <mergeCell ref="A162:B162"/>
    <mergeCell ref="A140:B140"/>
    <mergeCell ref="B145:B149"/>
    <mergeCell ref="C145:H145"/>
    <mergeCell ref="A151:B151"/>
    <mergeCell ref="A153:B153"/>
    <mergeCell ref="C128:H128"/>
    <mergeCell ref="C132:H132"/>
    <mergeCell ref="A135:B135"/>
    <mergeCell ref="A136:A139"/>
    <mergeCell ref="B136:B139"/>
    <mergeCell ref="C136:H136"/>
    <mergeCell ref="A97:B97"/>
    <mergeCell ref="A99:B99"/>
    <mergeCell ref="A100:A126"/>
    <mergeCell ref="B100:B126"/>
    <mergeCell ref="A128:A134"/>
    <mergeCell ref="B128:B134"/>
    <mergeCell ref="A86:B86"/>
    <mergeCell ref="A89:B89"/>
    <mergeCell ref="A91:B91"/>
    <mergeCell ref="A93:B93"/>
    <mergeCell ref="A95:B95"/>
    <mergeCell ref="A74:B74"/>
    <mergeCell ref="A76:A78"/>
    <mergeCell ref="B76:B78"/>
    <mergeCell ref="C76:H76"/>
    <mergeCell ref="A79:B79"/>
    <mergeCell ref="A64:B64"/>
    <mergeCell ref="A66:B66"/>
    <mergeCell ref="A68:B68"/>
    <mergeCell ref="A70:B70"/>
    <mergeCell ref="A72:B72"/>
    <mergeCell ref="A58:B58"/>
    <mergeCell ref="A60:A63"/>
    <mergeCell ref="B60:B63"/>
    <mergeCell ref="C60:H60"/>
    <mergeCell ref="C62:H62"/>
    <mergeCell ref="A24:A55"/>
    <mergeCell ref="B24:B55"/>
    <mergeCell ref="C49:H49"/>
    <mergeCell ref="C52:H52"/>
    <mergeCell ref="A56:B56"/>
    <mergeCell ref="A13:B13"/>
    <mergeCell ref="A16:B16"/>
    <mergeCell ref="A18:B18"/>
    <mergeCell ref="A20:B20"/>
    <mergeCell ref="A23:B23"/>
    <mergeCell ref="A1:H1"/>
    <mergeCell ref="A2:H2"/>
    <mergeCell ref="A3:H3"/>
    <mergeCell ref="A4:H4"/>
    <mergeCell ref="A6:A11"/>
    <mergeCell ref="B6:B10"/>
    <mergeCell ref="C6:C11"/>
    <mergeCell ref="D6:D11"/>
    <mergeCell ref="E6:E11"/>
    <mergeCell ref="F6:F11"/>
    <mergeCell ref="G6:G11"/>
    <mergeCell ref="H6:H11"/>
  </mergeCells>
  <pageMargins left="0" right="0" top="0.74791666666666701" bottom="0.74791666666666701" header="0.511811023622047" footer="0.511811023622047"/>
  <pageSetup paperSize="9" orientation="landscape" horizontalDpi="4294967295" verticalDpi="4294967295" r:id="rId1"/>
  <rowBreaks count="1" manualBreakCount="1"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 majątkowe 2022</vt:lpstr>
      <vt:lpstr>'Zadania majątkowe 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T.Cynka</dc:creator>
  <dc:description/>
  <cp:lastModifiedBy>Tatiana Cynka</cp:lastModifiedBy>
  <cp:revision>17</cp:revision>
  <cp:lastPrinted>2023-03-23T13:13:37Z</cp:lastPrinted>
  <dcterms:created xsi:type="dcterms:W3CDTF">2021-11-26T13:43:12Z</dcterms:created>
  <dcterms:modified xsi:type="dcterms:W3CDTF">2023-03-23T13:17:03Z</dcterms:modified>
  <dc:language>pl-PL</dc:language>
</cp:coreProperties>
</file>